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Private\ad\CEO\Investor relations\ROIC vs Growth 2024\"/>
    </mc:Choice>
  </mc:AlternateContent>
  <xr:revisionPtr revIDLastSave="0" documentId="13_ncr:1_{D74F1132-1486-4DA6-8F62-560322241841}" xr6:coauthVersionLast="47" xr6:coauthVersionMax="47" xr10:uidLastSave="{00000000-0000-0000-0000-000000000000}"/>
  <bookViews>
    <workbookView xWindow="-120" yWindow="-120" windowWidth="29040" windowHeight="15840" xr2:uid="{8701C25A-B6B7-4905-82D2-399C21CBA66A}"/>
  </bookViews>
  <sheets>
    <sheet name="Base Scenario" sheetId="5" r:id="rId1"/>
    <sheet name="Growth Scenario" sheetId="6" r:id="rId2"/>
  </sheets>
  <definedNames>
    <definedName name="_xlnm.Print_Area" localSheetId="0">'Base Scenario'!$B$2:$L$81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6" l="1"/>
  <c r="D67" i="6"/>
  <c r="E67" i="6"/>
  <c r="F67" i="6"/>
  <c r="G67" i="6"/>
  <c r="H67" i="6"/>
  <c r="I67" i="6"/>
  <c r="J67" i="6"/>
  <c r="K67" i="6"/>
  <c r="L67" i="6"/>
  <c r="D46" i="6"/>
  <c r="E46" i="6"/>
  <c r="F46" i="6"/>
  <c r="G46" i="6"/>
  <c r="H46" i="6"/>
  <c r="I46" i="6"/>
  <c r="C46" i="6"/>
  <c r="I47" i="6" l="1"/>
  <c r="J47" i="6"/>
  <c r="K47" i="6"/>
  <c r="L47" i="6"/>
  <c r="E42" i="6"/>
  <c r="E48" i="6" s="1"/>
  <c r="E57" i="6" s="1"/>
  <c r="E69" i="6" s="1"/>
  <c r="E70" i="6" s="1"/>
  <c r="F42" i="6"/>
  <c r="F48" i="6" s="1"/>
  <c r="F57" i="6" s="1"/>
  <c r="F69" i="6" s="1"/>
  <c r="F70" i="6" s="1"/>
  <c r="G42" i="6"/>
  <c r="H42" i="6"/>
  <c r="I42" i="6"/>
  <c r="J42" i="6"/>
  <c r="K42" i="6"/>
  <c r="L42" i="6"/>
  <c r="C38" i="6"/>
  <c r="C42" i="6"/>
  <c r="C48" i="6" l="1"/>
  <c r="C57" i="6" s="1"/>
  <c r="D34" i="6"/>
  <c r="D35" i="6"/>
  <c r="D42" i="6" s="1"/>
  <c r="D48" i="6" s="1"/>
  <c r="D57" i="6" s="1"/>
  <c r="D69" i="6" s="1"/>
  <c r="D70" i="6" s="1"/>
  <c r="D23" i="6"/>
  <c r="E23" i="6" s="1"/>
  <c r="F24" i="6" s="1"/>
  <c r="E20" i="6"/>
  <c r="F20" i="6" s="1"/>
  <c r="E19" i="6"/>
  <c r="F19" i="6" s="1"/>
  <c r="C55" i="6" s="1"/>
  <c r="E16" i="6"/>
  <c r="C68" i="6" l="1"/>
  <c r="C66" i="6"/>
  <c r="C58" i="6"/>
  <c r="C69" i="6"/>
  <c r="C70" i="6" s="1"/>
  <c r="D58" i="6"/>
  <c r="D62" i="6" s="1"/>
  <c r="D63" i="6" s="1"/>
  <c r="D64" i="6" s="1"/>
  <c r="M42" i="6"/>
  <c r="D38" i="6"/>
  <c r="G36" i="6"/>
  <c r="C71" i="6" l="1"/>
  <c r="E34" i="6"/>
  <c r="E38" i="6" s="1"/>
  <c r="K37" i="6"/>
  <c r="K46" i="6" s="1"/>
  <c r="L37" i="6"/>
  <c r="L46" i="6" s="1"/>
  <c r="J37" i="6"/>
  <c r="J46" i="6" s="1"/>
  <c r="F34" i="6" l="1"/>
  <c r="F38" i="6" s="1"/>
  <c r="G34" i="6" l="1"/>
  <c r="G38" i="6" s="1"/>
  <c r="G45" i="6" l="1"/>
  <c r="G48" i="6" s="1"/>
  <c r="G57" i="6" s="1"/>
  <c r="G69" i="6" s="1"/>
  <c r="G70" i="6" s="1"/>
  <c r="H34" i="6"/>
  <c r="H38" i="6" s="1"/>
  <c r="H45" i="6" l="1"/>
  <c r="H48" i="6" s="1"/>
  <c r="H57" i="6" s="1"/>
  <c r="H69" i="6" s="1"/>
  <c r="H70" i="6" s="1"/>
  <c r="I34" i="6"/>
  <c r="I38" i="6" s="1"/>
  <c r="I45" i="6" l="1"/>
  <c r="I48" i="6" s="1"/>
  <c r="I57" i="6" s="1"/>
  <c r="I69" i="6" s="1"/>
  <c r="I70" i="6" s="1"/>
  <c r="J34" i="6"/>
  <c r="J38" i="6" s="1"/>
  <c r="J45" i="6" l="1"/>
  <c r="J48" i="6" s="1"/>
  <c r="J57" i="6" s="1"/>
  <c r="J69" i="6" s="1"/>
  <c r="J70" i="6" s="1"/>
  <c r="K34" i="6"/>
  <c r="K38" i="6" s="1"/>
  <c r="K45" i="6" l="1"/>
  <c r="K48" i="6" s="1"/>
  <c r="K57" i="6" s="1"/>
  <c r="K69" i="6" s="1"/>
  <c r="K70" i="6" s="1"/>
  <c r="L34" i="6"/>
  <c r="L38" i="6" s="1"/>
  <c r="L45" i="6" l="1"/>
  <c r="L48" i="6" s="1"/>
  <c r="C40" i="5"/>
  <c r="D40" i="5" s="1"/>
  <c r="E40" i="5" s="1"/>
  <c r="F40" i="5" s="1"/>
  <c r="G40" i="5" s="1"/>
  <c r="H40" i="5" s="1"/>
  <c r="I40" i="5" s="1"/>
  <c r="J40" i="5" s="1"/>
  <c r="K40" i="5" s="1"/>
  <c r="L40" i="5" s="1"/>
  <c r="L41" i="5" s="1"/>
  <c r="C52" i="5"/>
  <c r="F28" i="5"/>
  <c r="F31" i="5" s="1"/>
  <c r="F39" i="5" s="1"/>
  <c r="F53" i="5" s="1"/>
  <c r="G28" i="5"/>
  <c r="G31" i="5" s="1"/>
  <c r="G39" i="5" s="1"/>
  <c r="G53" i="5" s="1"/>
  <c r="H28" i="5"/>
  <c r="H31" i="5" s="1"/>
  <c r="H39" i="5" s="1"/>
  <c r="H53" i="5" s="1"/>
  <c r="I28" i="5"/>
  <c r="I31" i="5" s="1"/>
  <c r="I39" i="5" s="1"/>
  <c r="I53" i="5" s="1"/>
  <c r="J28" i="5"/>
  <c r="J31" i="5" s="1"/>
  <c r="J39" i="5" s="1"/>
  <c r="J53" i="5" s="1"/>
  <c r="K28" i="5"/>
  <c r="K31" i="5" s="1"/>
  <c r="K39" i="5" s="1"/>
  <c r="K53" i="5" s="1"/>
  <c r="L28" i="5"/>
  <c r="L31" i="5" s="1"/>
  <c r="L39" i="5" s="1"/>
  <c r="L53" i="5" s="1"/>
  <c r="E28" i="5"/>
  <c r="E31" i="5" s="1"/>
  <c r="E39" i="5" s="1"/>
  <c r="E53" i="5" s="1"/>
  <c r="C28" i="5"/>
  <c r="D24" i="5"/>
  <c r="D28" i="5" s="1"/>
  <c r="D31" i="5" s="1"/>
  <c r="D39" i="5" s="1"/>
  <c r="D53" i="5" s="1"/>
  <c r="C25" i="5"/>
  <c r="D23" i="5" s="1"/>
  <c r="C37" i="5"/>
  <c r="C70" i="5" s="1"/>
  <c r="M57" i="6" l="1"/>
  <c r="L57" i="6"/>
  <c r="L69" i="6" s="1"/>
  <c r="L70" i="6" s="1"/>
  <c r="C73" i="6" s="1"/>
  <c r="L42" i="5"/>
  <c r="H71" i="5"/>
  <c r="H72" i="5" s="1"/>
  <c r="K71" i="5"/>
  <c r="K72" i="5" s="1"/>
  <c r="J71" i="5"/>
  <c r="J72" i="5" s="1"/>
  <c r="I71" i="5"/>
  <c r="I72" i="5" s="1"/>
  <c r="G71" i="5"/>
  <c r="G72" i="5" s="1"/>
  <c r="D71" i="5"/>
  <c r="D72" i="5" s="1"/>
  <c r="L71" i="5"/>
  <c r="L72" i="5" s="1"/>
  <c r="C75" i="5" s="1"/>
  <c r="F71" i="5"/>
  <c r="F72" i="5" s="1"/>
  <c r="E71" i="5"/>
  <c r="E72" i="5" s="1"/>
  <c r="C54" i="5"/>
  <c r="C59" i="5" s="1"/>
  <c r="G54" i="5"/>
  <c r="F54" i="5"/>
  <c r="E54" i="5"/>
  <c r="H54" i="5"/>
  <c r="D54" i="5"/>
  <c r="L54" i="5"/>
  <c r="K54" i="5"/>
  <c r="J54" i="5"/>
  <c r="I54" i="5"/>
  <c r="F41" i="5"/>
  <c r="F42" i="5" s="1"/>
  <c r="C41" i="5"/>
  <c r="K41" i="5"/>
  <c r="K42" i="5" s="1"/>
  <c r="J41" i="5"/>
  <c r="J42" i="5" s="1"/>
  <c r="I41" i="5"/>
  <c r="I42" i="5" s="1"/>
  <c r="H41" i="5"/>
  <c r="H42" i="5" s="1"/>
  <c r="G41" i="5"/>
  <c r="G42" i="5" s="1"/>
  <c r="E41" i="5"/>
  <c r="E42" i="5" s="1"/>
  <c r="D41" i="5"/>
  <c r="D42" i="5" s="1"/>
  <c r="C31" i="5"/>
  <c r="C39" i="5" s="1"/>
  <c r="D25" i="5"/>
  <c r="E23" i="5" s="1"/>
  <c r="E25" i="5" s="1"/>
  <c r="F23" i="5" s="1"/>
  <c r="F25" i="5" s="1"/>
  <c r="G23" i="5" s="1"/>
  <c r="G25" i="5" s="1"/>
  <c r="H23" i="5" s="1"/>
  <c r="H25" i="5" s="1"/>
  <c r="I23" i="5" s="1"/>
  <c r="I25" i="5" s="1"/>
  <c r="J23" i="5" s="1"/>
  <c r="J25" i="5" s="1"/>
  <c r="K23" i="5" s="1"/>
  <c r="K25" i="5" s="1"/>
  <c r="L23" i="5" s="1"/>
  <c r="L25" i="5" s="1"/>
  <c r="C42" i="5" l="1"/>
  <c r="C71" i="5"/>
  <c r="C72" i="5" s="1"/>
  <c r="C53" i="5"/>
  <c r="C44" i="5" l="1"/>
  <c r="C45" i="5" s="1"/>
  <c r="C48" i="5" s="1"/>
  <c r="C46" i="5" l="1"/>
  <c r="C55" i="5" s="1"/>
  <c r="C60" i="5" s="1"/>
  <c r="C49" i="5" l="1"/>
  <c r="C56" i="5" s="1"/>
  <c r="C57" i="5" s="1"/>
  <c r="C50" i="5" l="1"/>
  <c r="D44" i="5"/>
  <c r="D52" i="5"/>
  <c r="D37" i="5"/>
  <c r="D45" i="5" l="1"/>
  <c r="D70" i="5"/>
  <c r="D73" i="5" s="1"/>
  <c r="D59" i="5"/>
  <c r="E37" i="5"/>
  <c r="C61" i="5"/>
  <c r="D46" i="5" l="1"/>
  <c r="D48" i="5"/>
  <c r="D55" i="5"/>
  <c r="D60" i="5" s="1"/>
  <c r="E70" i="5"/>
  <c r="E73" i="5" s="1"/>
  <c r="E59" i="5"/>
  <c r="F37" i="5"/>
  <c r="C62" i="5"/>
  <c r="C64" i="5" s="1"/>
  <c r="C84" i="5" s="1"/>
  <c r="C73" i="5"/>
  <c r="F70" i="5" l="1"/>
  <c r="F73" i="5" s="1"/>
  <c r="F59" i="5"/>
  <c r="C94" i="5"/>
  <c r="G37" i="5"/>
  <c r="C63" i="5"/>
  <c r="C65" i="5" s="1"/>
  <c r="G70" i="5" l="1"/>
  <c r="G73" i="5" s="1"/>
  <c r="G59" i="5"/>
  <c r="C68" i="5"/>
  <c r="C67" i="5"/>
  <c r="H37" i="5"/>
  <c r="H70" i="5" l="1"/>
  <c r="H73" i="5" s="1"/>
  <c r="H59" i="5"/>
  <c r="I37" i="5"/>
  <c r="I70" i="5" l="1"/>
  <c r="I73" i="5" s="1"/>
  <c r="I59" i="5"/>
  <c r="J37" i="5"/>
  <c r="J70" i="5" l="1"/>
  <c r="J73" i="5" s="1"/>
  <c r="J59" i="5"/>
  <c r="K37" i="5"/>
  <c r="K70" i="5" l="1"/>
  <c r="K73" i="5" s="1"/>
  <c r="K59" i="5"/>
  <c r="L37" i="5"/>
  <c r="L70" i="5" l="1"/>
  <c r="L73" i="5" s="1"/>
  <c r="L59" i="5"/>
  <c r="C76" i="5" l="1"/>
  <c r="C77" i="5" s="1"/>
  <c r="C78" i="5" l="1"/>
  <c r="C79" i="5" s="1"/>
  <c r="D49" i="5" l="1"/>
  <c r="D56" i="5" s="1"/>
  <c r="D57" i="5" s="1"/>
  <c r="E44" i="5" s="1"/>
  <c r="D61" i="5"/>
  <c r="D62" i="5" s="1"/>
  <c r="D64" i="5" l="1"/>
  <c r="D84" i="5" s="1"/>
  <c r="D63" i="5"/>
  <c r="D50" i="5"/>
  <c r="E45" i="5" s="1"/>
  <c r="E46" i="5" s="1"/>
  <c r="E48" i="5" l="1"/>
  <c r="E55" i="5" s="1"/>
  <c r="E60" i="5" s="1"/>
  <c r="D85" i="5"/>
  <c r="D94" i="5" s="1"/>
  <c r="D95" i="5" s="1"/>
  <c r="D65" i="5"/>
  <c r="E52" i="5"/>
  <c r="D67" i="5" l="1"/>
  <c r="E49" i="5"/>
  <c r="E56" i="5" s="1"/>
  <c r="E57" i="5" s="1"/>
  <c r="F44" i="5" s="1"/>
  <c r="E61" i="5"/>
  <c r="E62" i="5" s="1"/>
  <c r="D68" i="5" l="1"/>
  <c r="E64" i="5"/>
  <c r="E84" i="5" s="1"/>
  <c r="E63" i="5"/>
  <c r="E50" i="5"/>
  <c r="F45" i="5" l="1"/>
  <c r="F46" i="5" s="1"/>
  <c r="E85" i="5"/>
  <c r="E86" i="5"/>
  <c r="E65" i="5"/>
  <c r="F52" i="5"/>
  <c r="F48" i="5" l="1"/>
  <c r="E94" i="5"/>
  <c r="E67" i="5" s="1"/>
  <c r="F55" i="5" l="1"/>
  <c r="F60" i="5" s="1"/>
  <c r="F61" i="5" s="1"/>
  <c r="F62" i="5" s="1"/>
  <c r="F49" i="5"/>
  <c r="F56" i="5" s="1"/>
  <c r="F57" i="5" s="1"/>
  <c r="G44" i="5" s="1"/>
  <c r="E95" i="5"/>
  <c r="E68" i="5" s="1"/>
  <c r="F50" i="5"/>
  <c r="F64" i="5"/>
  <c r="F84" i="5" s="1"/>
  <c r="F63" i="5"/>
  <c r="G45" i="5" l="1"/>
  <c r="G46" i="5" s="1"/>
  <c r="F85" i="5"/>
  <c r="F86" i="5"/>
  <c r="F87" i="5"/>
  <c r="F65" i="5"/>
  <c r="G52" i="5"/>
  <c r="G48" i="5" l="1"/>
  <c r="G55" i="5"/>
  <c r="G60" i="5" s="1"/>
  <c r="F94" i="5"/>
  <c r="F95" i="5" s="1"/>
  <c r="G49" i="5" l="1"/>
  <c r="G56" i="5" s="1"/>
  <c r="G57" i="5" s="1"/>
  <c r="H44" i="5" s="1"/>
  <c r="F67" i="5"/>
  <c r="F68" i="5"/>
  <c r="G50" i="5" l="1"/>
  <c r="H45" i="5"/>
  <c r="H46" i="5" s="1"/>
  <c r="H52" i="5"/>
  <c r="G61" i="5"/>
  <c r="G62" i="5" s="1"/>
  <c r="H48" i="5" l="1"/>
  <c r="G64" i="5"/>
  <c r="G84" i="5" s="1"/>
  <c r="G63" i="5"/>
  <c r="H55" i="5" l="1"/>
  <c r="H49" i="5"/>
  <c r="G85" i="5"/>
  <c r="G86" i="5"/>
  <c r="G87" i="5"/>
  <c r="G88" i="5"/>
  <c r="G65" i="5"/>
  <c r="H56" i="5" l="1"/>
  <c r="H57" i="5" s="1"/>
  <c r="H50" i="5"/>
  <c r="H60" i="5"/>
  <c r="H61" i="5" s="1"/>
  <c r="H62" i="5" s="1"/>
  <c r="G94" i="5"/>
  <c r="G67" i="5" s="1"/>
  <c r="I52" i="5" l="1"/>
  <c r="I44" i="5"/>
  <c r="I45" i="5" s="1"/>
  <c r="I46" i="5" s="1"/>
  <c r="H64" i="5"/>
  <c r="H84" i="5" s="1"/>
  <c r="H63" i="5"/>
  <c r="H65" i="5" s="1"/>
  <c r="G95" i="5"/>
  <c r="G68" i="5" s="1"/>
  <c r="I48" i="5" l="1"/>
  <c r="H87" i="5"/>
  <c r="H88" i="5"/>
  <c r="H89" i="5"/>
  <c r="H85" i="5"/>
  <c r="H86" i="5"/>
  <c r="H94" i="5" s="1"/>
  <c r="H67" i="5" l="1"/>
  <c r="H95" i="5"/>
  <c r="H68" i="5" s="1"/>
  <c r="I55" i="5"/>
  <c r="I60" i="5" s="1"/>
  <c r="I61" i="5" s="1"/>
  <c r="I62" i="5" s="1"/>
  <c r="I49" i="5"/>
  <c r="I56" i="5" s="1"/>
  <c r="I57" i="5" s="1"/>
  <c r="I50" i="5" l="1"/>
  <c r="J44" i="5"/>
  <c r="J45" i="5" s="1"/>
  <c r="J46" i="5" s="1"/>
  <c r="J52" i="5"/>
  <c r="I64" i="5"/>
  <c r="I84" i="5" s="1"/>
  <c r="I63" i="5"/>
  <c r="J48" i="5" l="1"/>
  <c r="I65" i="5"/>
  <c r="I85" i="5"/>
  <c r="I86" i="5"/>
  <c r="I87" i="5"/>
  <c r="I89" i="5"/>
  <c r="I90" i="5"/>
  <c r="I88" i="5"/>
  <c r="I94" i="5"/>
  <c r="J55" i="5" l="1"/>
  <c r="J60" i="5" s="1"/>
  <c r="J61" i="5" s="1"/>
  <c r="J62" i="5" s="1"/>
  <c r="J49" i="5"/>
  <c r="J56" i="5" s="1"/>
  <c r="J57" i="5" s="1"/>
  <c r="J50" i="5"/>
  <c r="I67" i="5"/>
  <c r="I95" i="5"/>
  <c r="I68" i="5" s="1"/>
  <c r="K44" i="5" l="1"/>
  <c r="K45" i="5" s="1"/>
  <c r="K46" i="5" s="1"/>
  <c r="K52" i="5"/>
  <c r="J64" i="5"/>
  <c r="J84" i="5" s="1"/>
  <c r="J63" i="5"/>
  <c r="K48" i="5" l="1"/>
  <c r="J65" i="5"/>
  <c r="J85" i="5"/>
  <c r="J86" i="5"/>
  <c r="J87" i="5"/>
  <c r="J88" i="5"/>
  <c r="J89" i="5"/>
  <c r="J90" i="5"/>
  <c r="J91" i="5"/>
  <c r="J94" i="5" l="1"/>
  <c r="J67" i="5" s="1"/>
  <c r="K55" i="5"/>
  <c r="K60" i="5" s="1"/>
  <c r="K61" i="5" s="1"/>
  <c r="K62" i="5" s="1"/>
  <c r="K49" i="5"/>
  <c r="K56" i="5" s="1"/>
  <c r="K57" i="5" s="1"/>
  <c r="J95" i="5" l="1"/>
  <c r="J68" i="5" s="1"/>
  <c r="K50" i="5"/>
  <c r="L44" i="5"/>
  <c r="L45" i="5" s="1"/>
  <c r="L52" i="5"/>
  <c r="K64" i="5"/>
  <c r="K84" i="5" s="1"/>
  <c r="K63" i="5"/>
  <c r="L46" i="5" l="1"/>
  <c r="L48" i="5" s="1"/>
  <c r="K65" i="5"/>
  <c r="K87" i="5"/>
  <c r="K91" i="5"/>
  <c r="K85" i="5"/>
  <c r="K88" i="5"/>
  <c r="K86" i="5"/>
  <c r="K89" i="5"/>
  <c r="K90" i="5"/>
  <c r="K92" i="5"/>
  <c r="L49" i="5" l="1"/>
  <c r="L56" i="5" s="1"/>
  <c r="L50" i="5"/>
  <c r="L55" i="5"/>
  <c r="L60" i="5" s="1"/>
  <c r="L61" i="5" s="1"/>
  <c r="L62" i="5" s="1"/>
  <c r="L64" i="5" s="1"/>
  <c r="L84" i="5" s="1"/>
  <c r="L93" i="5" s="1"/>
  <c r="K94" i="5"/>
  <c r="L63" i="5"/>
  <c r="L57" i="5"/>
  <c r="K67" i="5"/>
  <c r="K95" i="5"/>
  <c r="K68" i="5" s="1"/>
  <c r="C80" i="5"/>
  <c r="C81" i="5" s="1"/>
  <c r="L65" i="5"/>
  <c r="L85" i="5"/>
  <c r="L87" i="5"/>
  <c r="L86" i="5" l="1"/>
  <c r="L92" i="5"/>
  <c r="L91" i="5"/>
  <c r="L90" i="5"/>
  <c r="L89" i="5"/>
  <c r="L88" i="5"/>
  <c r="L94" i="5"/>
  <c r="L67" i="5" s="1"/>
  <c r="L95" i="5" l="1"/>
  <c r="L68" i="5" s="1"/>
  <c r="D55" i="6" l="1"/>
  <c r="E58" i="6"/>
  <c r="E62" i="6" l="1"/>
  <c r="E63" i="6" s="1"/>
  <c r="E64" i="6" s="1"/>
  <c r="D68" i="6"/>
  <c r="D71" i="6" s="1"/>
  <c r="D66" i="6"/>
  <c r="E55" i="6"/>
  <c r="F58" i="6" l="1"/>
  <c r="F62" i="6" s="1"/>
  <c r="F63" i="6" s="1"/>
  <c r="F64" i="6" s="1"/>
  <c r="E68" i="6"/>
  <c r="E71" i="6" s="1"/>
  <c r="E66" i="6"/>
  <c r="F55" i="6" l="1"/>
  <c r="G58" i="6"/>
  <c r="G62" i="6" s="1"/>
  <c r="G63" i="6" s="1"/>
  <c r="G64" i="6" s="1"/>
  <c r="F68" i="6" l="1"/>
  <c r="F71" i="6" s="1"/>
  <c r="F66" i="6"/>
  <c r="G55" i="6"/>
  <c r="H58" i="6"/>
  <c r="H62" i="6" s="1"/>
  <c r="H63" i="6" s="1"/>
  <c r="H64" i="6" s="1"/>
  <c r="G68" i="6" l="1"/>
  <c r="G71" i="6" s="1"/>
  <c r="G66" i="6"/>
  <c r="H55" i="6"/>
  <c r="H68" i="6" l="1"/>
  <c r="H71" i="6" s="1"/>
  <c r="H66" i="6"/>
  <c r="I58" i="6"/>
  <c r="I62" i="6" s="1"/>
  <c r="I63" i="6" s="1"/>
  <c r="I64" i="6" s="1"/>
  <c r="I55" i="6" l="1"/>
  <c r="I68" i="6" l="1"/>
  <c r="I71" i="6" s="1"/>
  <c r="I66" i="6"/>
  <c r="J58" i="6"/>
  <c r="J62" i="6" s="1"/>
  <c r="J63" i="6" s="1"/>
  <c r="J64" i="6" s="1"/>
  <c r="J55" i="6" l="1"/>
  <c r="J68" i="6" l="1"/>
  <c r="J71" i="6" s="1"/>
  <c r="J66" i="6"/>
  <c r="K58" i="6"/>
  <c r="K62" i="6" s="1"/>
  <c r="K63" i="6" s="1"/>
  <c r="K64" i="6" s="1"/>
  <c r="K55" i="6" l="1"/>
  <c r="K68" i="6" l="1"/>
  <c r="K71" i="6" s="1"/>
  <c r="K66" i="6"/>
  <c r="L58" i="6"/>
  <c r="L62" i="6" l="1"/>
  <c r="L63" i="6" s="1"/>
  <c r="L64" i="6" s="1"/>
  <c r="L55" i="6"/>
  <c r="L68" i="6" l="1"/>
  <c r="L66" i="6"/>
  <c r="M58" i="6"/>
  <c r="M55" i="6"/>
  <c r="L71" i="6" l="1"/>
  <c r="C74" i="6"/>
  <c r="C75" i="6" s="1"/>
  <c r="C76" i="6" s="1"/>
</calcChain>
</file>

<file path=xl/sharedStrings.xml><?xml version="1.0" encoding="utf-8"?>
<sst xmlns="http://schemas.openxmlformats.org/spreadsheetml/2006/main" count="158" uniqueCount="116">
  <si>
    <t>Year</t>
  </si>
  <si>
    <t>ROIC</t>
  </si>
  <si>
    <t>Assumptions</t>
  </si>
  <si>
    <t>Terminal FCF Yield</t>
  </si>
  <si>
    <t>Adj. FCFE Yield %</t>
  </si>
  <si>
    <t>FX Rate Cdn$ : US$</t>
  </si>
  <si>
    <t>US$</t>
  </si>
  <si>
    <t>Cdn$</t>
  </si>
  <si>
    <t>Constant Share Price</t>
  </si>
  <si>
    <t>Initial shares outstanding (million)</t>
  </si>
  <si>
    <t>Shares Outstanding (million)</t>
  </si>
  <si>
    <t>Base Case Scenario</t>
  </si>
  <si>
    <t>Target Cash Level (million)</t>
  </si>
  <si>
    <t xml:space="preserve">   Starting debt</t>
  </si>
  <si>
    <t xml:space="preserve">   Debt repayments</t>
  </si>
  <si>
    <t xml:space="preserve">   Ending debt</t>
  </si>
  <si>
    <t>Quarterly Dividend per Share</t>
  </si>
  <si>
    <t>Quarterly Dividends (million)</t>
  </si>
  <si>
    <t>Debt Schedule (million)</t>
  </si>
  <si>
    <t>2024 Annual FCFE (million)</t>
  </si>
  <si>
    <t>Adjusted FCFE (million)</t>
  </si>
  <si>
    <t>Adjusted FCFE After Qtrly Dividends (million)</t>
  </si>
  <si>
    <t>Estimated Repatriation Tax on Qtrly Dividends (million)</t>
  </si>
  <si>
    <t>Beginning of Year Cash (million)</t>
  </si>
  <si>
    <t>Starting Cash 2024 (million)</t>
  </si>
  <si>
    <t>Potential performance dividends (millions)</t>
  </si>
  <si>
    <t>Estimated Repatriation Tax on Perf Dividends (million)</t>
  </si>
  <si>
    <t>Estimated Repatriation Tax on Dividends (million)</t>
  </si>
  <si>
    <t>End of Year Cash  (million)</t>
  </si>
  <si>
    <t>Performance Dividend Per Share (US$)</t>
  </si>
  <si>
    <t>Quarterly Dividend Per Share (US$)</t>
  </si>
  <si>
    <t>Total Dividends Per Share (US$)</t>
  </si>
  <si>
    <t>Total Dividends Per Share (Cdn$)</t>
  </si>
  <si>
    <t>Cumulative Dividends Per Share (Cdn$)</t>
  </si>
  <si>
    <t>Market Cap (Cdn$ million))</t>
  </si>
  <si>
    <t>Potential performance dividends (million)</t>
  </si>
  <si>
    <t>All $ amounts are US dollars, except share price, market cap and dividends where so indicated</t>
  </si>
  <si>
    <t>Adjusted FCFE (million, Cdn$)</t>
  </si>
  <si>
    <t>Implied market cap based on target FCF yield (Cdn$ million)</t>
  </si>
  <si>
    <t>Gain (Cdn$ million)</t>
  </si>
  <si>
    <t>Gain per share (Cdn$)</t>
  </si>
  <si>
    <t>Total gains per share (Cdn$)</t>
  </si>
  <si>
    <t xml:space="preserve">   Additional FCFE as debt is paid off</t>
  </si>
  <si>
    <t xml:space="preserve">   Recapture of restricted cash when debt is paid-off</t>
  </si>
  <si>
    <t>10-Year Hypothetical Scenario</t>
  </si>
  <si>
    <t>Dividend Reinvestment Compounded</t>
  </si>
  <si>
    <t>Incremental from Year 1 dividend</t>
  </si>
  <si>
    <t>Incremental from Year 2 dividend</t>
  </si>
  <si>
    <t>Incremental from Year 3 dividend</t>
  </si>
  <si>
    <t>Incremental from Year 4 dividend</t>
  </si>
  <si>
    <t>Incremental from Year 5 dividend</t>
  </si>
  <si>
    <t>Incremental from Year 6 dividend</t>
  </si>
  <si>
    <t>Incremental from Year 7 dividend</t>
  </si>
  <si>
    <t>Incremental from Year 8 dividend</t>
  </si>
  <si>
    <t>Incremental from Year 9 dividend</t>
  </si>
  <si>
    <t>ROIC with compounding</t>
  </si>
  <si>
    <t>Cumulative ROIC with compounding</t>
  </si>
  <si>
    <t>With Dividend Reinvestment</t>
  </si>
  <si>
    <t xml:space="preserve">    ROIC</t>
  </si>
  <si>
    <t xml:space="preserve">    Cumulative ROIC</t>
  </si>
  <si>
    <t>10-year terminal market cap (Cdn$ million)</t>
  </si>
  <si>
    <t>ROIC  - no dividend reinvestment</t>
  </si>
  <si>
    <t>Copper Price $/lb</t>
  </si>
  <si>
    <t>FCFE ($M)</t>
  </si>
  <si>
    <r>
      <t xml:space="preserve">Assumptions for 2024 Production Guidance </t>
    </r>
    <r>
      <rPr>
        <b/>
        <vertAlign val="superscript"/>
        <sz val="11"/>
        <color theme="1"/>
        <rFont val="Aptos Narrow"/>
        <family val="2"/>
        <scheme val="minor"/>
      </rPr>
      <t>1</t>
    </r>
  </si>
  <si>
    <r>
      <rPr>
        <vertAlign val="superscript"/>
        <sz val="9"/>
        <color theme="1"/>
        <rFont val="Aptos Narrow"/>
        <family val="2"/>
        <scheme val="minor"/>
      </rPr>
      <t>1</t>
    </r>
    <r>
      <rPr>
        <sz val="9"/>
        <color theme="1"/>
        <rFont val="Aptos Narrow"/>
        <family val="2"/>
        <scheme val="minor"/>
      </rPr>
      <t xml:space="preserve"> 2024 copper  production guidance is 62.4 M lbs. Guidance excludes prior year settlement adjustments, </t>
    </r>
  </si>
  <si>
    <t>assumes molybdenum price of $21/lb and US conversion rate of 935:1</t>
  </si>
  <si>
    <t>Instructions:</t>
  </si>
  <si>
    <t xml:space="preserve">Refer to 2024 production guidance for FCFE at varying copper prices. </t>
  </si>
  <si>
    <t xml:space="preserve">Numbers in blue can be changed to construct different scenarios. </t>
  </si>
  <si>
    <t xml:space="preserve">   Estimated reduction in FCFE due to higher Capex </t>
  </si>
  <si>
    <t>Numbers in black are hard data or formulas and should not be changed.</t>
  </si>
  <si>
    <t>Projected year-end cash after quarterly dividend</t>
  </si>
  <si>
    <t>Is minimal cash target at year-end reached?</t>
  </si>
  <si>
    <t>Room for performance dividend after cash target is met</t>
  </si>
  <si>
    <t>Adjustments to FCFE (million)</t>
  </si>
  <si>
    <t>Growth Scenario</t>
  </si>
  <si>
    <t>Copper Price</t>
  </si>
  <si>
    <t>Tonnage per Year</t>
  </si>
  <si>
    <t>Equity Construction Capital %</t>
  </si>
  <si>
    <t>PEA/PFS Funds
Raised</t>
  </si>
  <si>
    <t>PFS
Complete</t>
  </si>
  <si>
    <t>FS Funds
Raised</t>
  </si>
  <si>
    <t>FS
Complete</t>
  </si>
  <si>
    <t>Debt/Equity
Raised</t>
  </si>
  <si>
    <t>Construction
Complete</t>
  </si>
  <si>
    <t>Full
Production</t>
  </si>
  <si>
    <t>Additional Shares</t>
  </si>
  <si>
    <t xml:space="preserve">Constant Share Price </t>
  </si>
  <si>
    <t>Initial Shares Out (million)</t>
  </si>
  <si>
    <t>Loan Repayment Term (years)</t>
  </si>
  <si>
    <t>Cost of PEA/PFS (million)</t>
  </si>
  <si>
    <t>Cost of FS (million)</t>
  </si>
  <si>
    <t>Construction Capital (million)</t>
  </si>
  <si>
    <t>Interest Rate on New Debt</t>
  </si>
  <si>
    <t>Capital Intensity/Ton (thousand)</t>
  </si>
  <si>
    <t>Assumed FCFE multiple on expansion</t>
  </si>
  <si>
    <t>Project milestones</t>
  </si>
  <si>
    <t>EOY Cash (million)</t>
  </si>
  <si>
    <t xml:space="preserve">   Construction loan</t>
  </si>
  <si>
    <t xml:space="preserve">   Construction loan repaymetns</t>
  </si>
  <si>
    <t>Ramp-up</t>
  </si>
  <si>
    <t xml:space="preserve">   Additional FCFE from increased production</t>
  </si>
  <si>
    <t xml:space="preserve">   Interest on construction loan (million)</t>
  </si>
  <si>
    <t xml:space="preserve">  Shares issued (million)</t>
  </si>
  <si>
    <t>Share Issuances to Maintain Minimum Cash Levels</t>
  </si>
  <si>
    <t xml:space="preserve">  Cash Raised (US$ million)</t>
  </si>
  <si>
    <t xml:space="preserve">  Cash Raised (Cdn$ million)</t>
  </si>
  <si>
    <t>Shares oustanding (million)</t>
  </si>
  <si>
    <t>Price per share (Cdn$)</t>
  </si>
  <si>
    <t>Market Cap (Cdn$ million)</t>
  </si>
  <si>
    <t>Adjusted FCFE Yield %</t>
  </si>
  <si>
    <t>Terminal market cap (Cdn$ million)</t>
  </si>
  <si>
    <t>Gain (Loss) (Cdn$ million)</t>
  </si>
  <si>
    <t>Gain (loss) per share (Cdn$)</t>
  </si>
  <si>
    <t>Cash available for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</si>
</sst>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%"/>
    <numFmt numFmtId="166" formatCode="_(&quot;$&quot;* #,##0.0_);_(&quot;$&quot;* \(#,##0.0\);_(&quot;$&quot;* &quot;-&quot;??_);_(@_)"/>
    <numFmt numFmtId="167" formatCode="_(&quot;$&quot;* #,##0_);_(&quot;$&quot;* \(#,##0\);_(&quot;$&quot;* &quot;-&quot;??_);_(@_)"/>
    <numFmt numFmtId="168" formatCode="_(* #,##0.00_);_(* \(#,##0.00\);_(* &quot;-&quot;??_);_(@_)"/>
    <numFmt numFmtId="169" formatCode="_(* #,##0.0_);_(* \(#,##0.0\);_(* &quot;-&quot;??_);_(@_)"/>
    <numFmt numFmtId="170" formatCode="_(* #,##0_);_(* \(#,##0\);_(* &quot;-&quot;??_);_(@_)"/>
    <numFmt numFmtId="171" formatCode="_(* #,##0.0_);_(* \(#,##0.0\);_(* &quot;-&quot;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vertAlign val="superscript"/>
      <sz val="9"/>
      <color theme="1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b/>
      <sz val="11"/>
      <color theme="7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1">
    <xf numFmtId="0" fontId="0" fillId="0" borderId="0" xfId="0"/>
    <xf numFmtId="166" fontId="0" fillId="0" borderId="0" xfId="0" applyNumberFormat="1"/>
    <xf numFmtId="0" fontId="2" fillId="0" borderId="1" xfId="0" applyFont="1" applyBorder="1" applyAlignment="1">
      <alignment horizontal="center"/>
    </xf>
    <xf numFmtId="166" fontId="0" fillId="0" borderId="1" xfId="1" applyNumberFormat="1" applyFont="1" applyBorder="1"/>
    <xf numFmtId="166" fontId="0" fillId="0" borderId="0" xfId="1" applyNumberFormat="1" applyFont="1" applyBorder="1"/>
    <xf numFmtId="166" fontId="0" fillId="0" borderId="1" xfId="1" applyNumberFormat="1" applyFont="1" applyFill="1" applyBorder="1"/>
    <xf numFmtId="44" fontId="0" fillId="0" borderId="0" xfId="0" applyNumberFormat="1"/>
    <xf numFmtId="44" fontId="0" fillId="0" borderId="1" xfId="0" applyNumberFormat="1" applyBorder="1"/>
    <xf numFmtId="164" fontId="2" fillId="2" borderId="2" xfId="0" applyNumberFormat="1" applyFont="1" applyFill="1" applyBorder="1"/>
    <xf numFmtId="164" fontId="0" fillId="0" borderId="1" xfId="1" applyFont="1" applyBorder="1"/>
    <xf numFmtId="0" fontId="0" fillId="0" borderId="4" xfId="0" applyBorder="1"/>
    <xf numFmtId="0" fontId="0" fillId="0" borderId="5" xfId="0" applyBorder="1"/>
    <xf numFmtId="0" fontId="6" fillId="0" borderId="6" xfId="0" applyFont="1" applyBorder="1"/>
    <xf numFmtId="0" fontId="0" fillId="0" borderId="7" xfId="0" applyBorder="1"/>
    <xf numFmtId="0" fontId="0" fillId="0" borderId="6" xfId="0" applyBorder="1"/>
    <xf numFmtId="166" fontId="5" fillId="0" borderId="0" xfId="1" applyNumberFormat="1" applyFont="1" applyBorder="1"/>
    <xf numFmtId="164" fontId="0" fillId="0" borderId="0" xfId="1" applyFont="1" applyBorder="1"/>
    <xf numFmtId="0" fontId="2" fillId="0" borderId="8" xfId="0" applyFont="1" applyBorder="1" applyAlignment="1">
      <alignment horizontal="center"/>
    </xf>
    <xf numFmtId="166" fontId="0" fillId="0" borderId="7" xfId="0" applyNumberFormat="1" applyBorder="1"/>
    <xf numFmtId="166" fontId="0" fillId="0" borderId="7" xfId="1" applyNumberFormat="1" applyFont="1" applyBorder="1"/>
    <xf numFmtId="164" fontId="0" fillId="0" borderId="7" xfId="1" applyFont="1" applyBorder="1"/>
    <xf numFmtId="166" fontId="0" fillId="0" borderId="8" xfId="1" applyNumberFormat="1" applyFont="1" applyFill="1" applyBorder="1"/>
    <xf numFmtId="166" fontId="0" fillId="0" borderId="8" xfId="1" applyNumberFormat="1" applyFont="1" applyBorder="1"/>
    <xf numFmtId="44" fontId="0" fillId="0" borderId="8" xfId="0" applyNumberFormat="1" applyBorder="1"/>
    <xf numFmtId="164" fontId="0" fillId="0" borderId="7" xfId="0" applyNumberFormat="1" applyBorder="1"/>
    <xf numFmtId="164" fontId="2" fillId="2" borderId="9" xfId="0" applyNumberFormat="1" applyFont="1" applyFill="1" applyBorder="1"/>
    <xf numFmtId="9" fontId="0" fillId="0" borderId="0" xfId="2" applyFont="1" applyBorder="1"/>
    <xf numFmtId="9" fontId="0" fillId="0" borderId="7" xfId="2" applyFont="1" applyBorder="1"/>
    <xf numFmtId="165" fontId="0" fillId="0" borderId="0" xfId="2" applyNumberFormat="1" applyFont="1" applyBorder="1"/>
    <xf numFmtId="165" fontId="0" fillId="0" borderId="7" xfId="2" applyNumberFormat="1" applyFont="1" applyBorder="1"/>
    <xf numFmtId="9" fontId="0" fillId="0" borderId="6" xfId="2" applyFont="1" applyBorder="1"/>
    <xf numFmtId="0" fontId="0" fillId="0" borderId="10" xfId="0" applyBorder="1"/>
    <xf numFmtId="0" fontId="0" fillId="0" borderId="1" xfId="0" applyBorder="1"/>
    <xf numFmtId="0" fontId="0" fillId="0" borderId="8" xfId="0" applyBorder="1"/>
    <xf numFmtId="0" fontId="4" fillId="0" borderId="3" xfId="0" applyFont="1" applyBorder="1"/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3" borderId="6" xfId="0" applyFont="1" applyFill="1" applyBorder="1"/>
    <xf numFmtId="0" fontId="0" fillId="2" borderId="6" xfId="0" applyFill="1" applyBorder="1"/>
    <xf numFmtId="165" fontId="0" fillId="2" borderId="0" xfId="2" applyNumberFormat="1" applyFont="1" applyFill="1" applyBorder="1"/>
    <xf numFmtId="165" fontId="0" fillId="0" borderId="1" xfId="2" applyNumberFormat="1" applyFont="1" applyBorder="1"/>
    <xf numFmtId="0" fontId="0" fillId="2" borderId="3" xfId="0" applyFill="1" applyBorder="1"/>
    <xf numFmtId="9" fontId="0" fillId="2" borderId="4" xfId="2" applyFont="1" applyFill="1" applyBorder="1"/>
    <xf numFmtId="9" fontId="0" fillId="2" borderId="5" xfId="2" applyFont="1" applyFill="1" applyBorder="1"/>
    <xf numFmtId="165" fontId="0" fillId="2" borderId="7" xfId="2" applyNumberFormat="1" applyFont="1" applyFill="1" applyBorder="1"/>
    <xf numFmtId="0" fontId="0" fillId="2" borderId="10" xfId="0" applyFill="1" applyBorder="1"/>
    <xf numFmtId="165" fontId="0" fillId="2" borderId="1" xfId="2" applyNumberFormat="1" applyFont="1" applyFill="1" applyBorder="1"/>
    <xf numFmtId="165" fontId="0" fillId="2" borderId="8" xfId="2" applyNumberFormat="1" applyFont="1" applyFill="1" applyBorder="1"/>
    <xf numFmtId="0" fontId="2" fillId="0" borderId="3" xfId="0" applyFont="1" applyBorder="1"/>
    <xf numFmtId="165" fontId="0" fillId="0" borderId="8" xfId="2" applyNumberFormat="1" applyFont="1" applyBorder="1"/>
    <xf numFmtId="165" fontId="0" fillId="0" borderId="0" xfId="0" applyNumberFormat="1"/>
    <xf numFmtId="165" fontId="0" fillId="0" borderId="7" xfId="0" applyNumberFormat="1" applyBorder="1"/>
    <xf numFmtId="165" fontId="0" fillId="0" borderId="1" xfId="0" applyNumberFormat="1" applyBorder="1"/>
    <xf numFmtId="165" fontId="0" fillId="0" borderId="8" xfId="0" applyNumberFormat="1" applyBorder="1"/>
    <xf numFmtId="0" fontId="2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8" fillId="3" borderId="6" xfId="0" applyFont="1" applyFill="1" applyBorder="1" applyAlignment="1">
      <alignment horizontal="center"/>
    </xf>
    <xf numFmtId="0" fontId="0" fillId="3" borderId="7" xfId="0" applyFill="1" applyBorder="1"/>
    <xf numFmtId="164" fontId="0" fillId="3" borderId="6" xfId="1" applyFont="1" applyFill="1" applyBorder="1" applyAlignment="1"/>
    <xf numFmtId="166" fontId="0" fillId="3" borderId="0" xfId="1" applyNumberFormat="1" applyFont="1" applyFill="1" applyBorder="1"/>
    <xf numFmtId="0" fontId="7" fillId="3" borderId="6" xfId="0" applyFont="1" applyFill="1" applyBorder="1"/>
    <xf numFmtId="0" fontId="7" fillId="3" borderId="10" xfId="0" applyFont="1" applyFill="1" applyBorder="1"/>
    <xf numFmtId="0" fontId="0" fillId="3" borderId="1" xfId="0" applyFill="1" applyBorder="1"/>
    <xf numFmtId="0" fontId="0" fillId="3" borderId="8" xfId="0" applyFill="1" applyBorder="1"/>
    <xf numFmtId="0" fontId="4" fillId="3" borderId="3" xfId="0" applyFont="1" applyFill="1" applyBorder="1"/>
    <xf numFmtId="0" fontId="5" fillId="0" borderId="6" xfId="0" applyFont="1" applyBorder="1"/>
    <xf numFmtId="166" fontId="5" fillId="0" borderId="1" xfId="1" applyNumberFormat="1" applyFont="1" applyBorder="1"/>
    <xf numFmtId="166" fontId="5" fillId="0" borderId="1" xfId="0" applyNumberFormat="1" applyFont="1" applyBorder="1"/>
    <xf numFmtId="166" fontId="5" fillId="0" borderId="8" xfId="0" applyNumberFormat="1" applyFont="1" applyBorder="1"/>
    <xf numFmtId="0" fontId="5" fillId="0" borderId="0" xfId="0" applyFont="1"/>
    <xf numFmtId="164" fontId="5" fillId="0" borderId="0" xfId="1" applyFont="1" applyBorder="1"/>
    <xf numFmtId="0" fontId="2" fillId="3" borderId="0" xfId="0" applyFont="1" applyFill="1" applyAlignment="1">
      <alignment horizontal="center"/>
    </xf>
    <xf numFmtId="0" fontId="0" fillId="3" borderId="0" xfId="0" applyFill="1"/>
    <xf numFmtId="164" fontId="0" fillId="0" borderId="0" xfId="0" applyNumberFormat="1"/>
    <xf numFmtId="166" fontId="5" fillId="0" borderId="8" xfId="1" applyNumberFormat="1" applyFont="1" applyBorder="1"/>
    <xf numFmtId="166" fontId="0" fillId="0" borderId="0" xfId="1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166" fontId="0" fillId="0" borderId="7" xfId="1" applyNumberFormat="1" applyFont="1" applyBorder="1" applyAlignment="1">
      <alignment horizontal="center"/>
    </xf>
    <xf numFmtId="166" fontId="5" fillId="0" borderId="7" xfId="1" applyNumberFormat="1" applyFont="1" applyBorder="1"/>
    <xf numFmtId="0" fontId="2" fillId="4" borderId="4" xfId="0" applyFont="1" applyFill="1" applyBorder="1"/>
    <xf numFmtId="164" fontId="11" fillId="4" borderId="5" xfId="1" applyFont="1" applyFill="1" applyBorder="1"/>
    <xf numFmtId="0" fontId="2" fillId="4" borderId="0" xfId="0" applyFont="1" applyFill="1"/>
    <xf numFmtId="164" fontId="11" fillId="4" borderId="7" xfId="1" applyFont="1" applyFill="1" applyBorder="1"/>
    <xf numFmtId="166" fontId="11" fillId="4" borderId="0" xfId="1" applyNumberFormat="1" applyFont="1" applyFill="1" applyBorder="1"/>
    <xf numFmtId="0" fontId="2" fillId="4" borderId="7" xfId="0" applyFont="1" applyFill="1" applyBorder="1"/>
    <xf numFmtId="9" fontId="11" fillId="4" borderId="1" xfId="0" applyNumberFormat="1" applyFont="1" applyFill="1" applyBorder="1"/>
    <xf numFmtId="164" fontId="2" fillId="4" borderId="1" xfId="1" applyFont="1" applyFill="1" applyBorder="1"/>
    <xf numFmtId="164" fontId="2" fillId="4" borderId="8" xfId="0" applyNumberFormat="1" applyFont="1" applyFill="1" applyBorder="1"/>
    <xf numFmtId="0" fontId="0" fillId="4" borderId="3" xfId="0" applyFill="1" applyBorder="1"/>
    <xf numFmtId="0" fontId="0" fillId="4" borderId="6" xfId="0" applyFill="1" applyBorder="1"/>
    <xf numFmtId="0" fontId="0" fillId="4" borderId="10" xfId="0" applyFill="1" applyBorder="1"/>
    <xf numFmtId="166" fontId="0" fillId="0" borderId="0" xfId="1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166" fontId="0" fillId="0" borderId="0" xfId="1" applyNumberFormat="1" applyFont="1" applyFill="1" applyBorder="1"/>
    <xf numFmtId="0" fontId="4" fillId="0" borderId="6" xfId="0" applyFont="1" applyBorder="1"/>
    <xf numFmtId="164" fontId="12" fillId="0" borderId="0" xfId="1" applyFont="1" applyBorder="1"/>
    <xf numFmtId="166" fontId="12" fillId="0" borderId="0" xfId="1" applyNumberFormat="1" applyFont="1" applyFill="1" applyBorder="1"/>
    <xf numFmtId="170" fontId="12" fillId="0" borderId="0" xfId="3" applyNumberFormat="1" applyFont="1" applyFill="1" applyBorder="1"/>
    <xf numFmtId="166" fontId="12" fillId="0" borderId="0" xfId="1" applyNumberFormat="1" applyFont="1" applyBorder="1"/>
    <xf numFmtId="167" fontId="0" fillId="0" borderId="0" xfId="1" applyNumberFormat="1" applyFont="1" applyBorder="1"/>
    <xf numFmtId="9" fontId="12" fillId="0" borderId="0" xfId="0" applyNumberFormat="1" applyFont="1"/>
    <xf numFmtId="166" fontId="5" fillId="0" borderId="0" xfId="0" applyNumberFormat="1" applyFont="1"/>
    <xf numFmtId="169" fontId="0" fillId="0" borderId="0" xfId="3" applyNumberFormat="1" applyFont="1" applyBorder="1"/>
    <xf numFmtId="169" fontId="0" fillId="0" borderId="0" xfId="0" applyNumberFormat="1"/>
    <xf numFmtId="43" fontId="0" fillId="0" borderId="0" xfId="0" applyNumberFormat="1"/>
    <xf numFmtId="0" fontId="3" fillId="0" borderId="7" xfId="0" applyFont="1" applyBorder="1" applyAlignment="1">
      <alignment horizontal="center"/>
    </xf>
    <xf numFmtId="168" fontId="0" fillId="0" borderId="7" xfId="0" applyNumberFormat="1" applyBorder="1" applyAlignment="1">
      <alignment horizontal="left"/>
    </xf>
    <xf numFmtId="171" fontId="0" fillId="0" borderId="0" xfId="0" applyNumberFormat="1"/>
    <xf numFmtId="171" fontId="0" fillId="0" borderId="7" xfId="0" applyNumberFormat="1" applyBorder="1"/>
    <xf numFmtId="171" fontId="5" fillId="0" borderId="0" xfId="0" applyNumberFormat="1" applyFont="1"/>
    <xf numFmtId="171" fontId="5" fillId="0" borderId="7" xfId="0" applyNumberFormat="1" applyFont="1" applyBorder="1"/>
    <xf numFmtId="164" fontId="2" fillId="2" borderId="11" xfId="0" applyNumberFormat="1" applyFont="1" applyFill="1" applyBorder="1"/>
    <xf numFmtId="164" fontId="2" fillId="0" borderId="0" xfId="1" applyFont="1" applyBorder="1" applyAlignment="1">
      <alignment horizontal="center"/>
    </xf>
    <xf numFmtId="164" fontId="2" fillId="0" borderId="7" xfId="1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FB40B-349C-41A6-92FC-2DC979404395}">
  <sheetPr>
    <pageSetUpPr fitToPage="1"/>
  </sheetPr>
  <dimension ref="B2:R95"/>
  <sheetViews>
    <sheetView tabSelected="1" zoomScaleNormal="100" workbookViewId="0">
      <selection activeCell="H4" sqref="H4"/>
    </sheetView>
  </sheetViews>
  <sheetFormatPr defaultRowHeight="15" x14ac:dyDescent="0.25"/>
  <cols>
    <col min="2" max="2" width="52.85546875" customWidth="1"/>
    <col min="3" max="12" width="14.28515625" customWidth="1"/>
    <col min="18" max="18" width="11.85546875" bestFit="1" customWidth="1"/>
  </cols>
  <sheetData>
    <row r="2" spans="2:12" ht="18.75" x14ac:dyDescent="0.3">
      <c r="B2" s="65" t="s">
        <v>11</v>
      </c>
      <c r="C2" s="10"/>
      <c r="D2" s="10"/>
      <c r="E2" s="10"/>
      <c r="F2" s="10"/>
      <c r="G2" s="10"/>
      <c r="H2" s="10"/>
      <c r="I2" s="10"/>
      <c r="J2" s="10"/>
      <c r="K2" s="10"/>
      <c r="L2" s="11"/>
    </row>
    <row r="3" spans="2:12" ht="15.75" x14ac:dyDescent="0.25">
      <c r="B3" s="12" t="s">
        <v>36</v>
      </c>
      <c r="L3" s="13"/>
    </row>
    <row r="4" spans="2:12" ht="15.75" x14ac:dyDescent="0.25">
      <c r="B4" s="12"/>
      <c r="L4" s="13"/>
    </row>
    <row r="5" spans="2:12" ht="15.75" x14ac:dyDescent="0.25">
      <c r="B5" s="12" t="s">
        <v>67</v>
      </c>
      <c r="C5" t="s">
        <v>68</v>
      </c>
      <c r="L5" s="13"/>
    </row>
    <row r="6" spans="2:12" ht="15.75" x14ac:dyDescent="0.25">
      <c r="B6" s="12"/>
      <c r="C6" t="s">
        <v>69</v>
      </c>
      <c r="L6" s="13"/>
    </row>
    <row r="7" spans="2:12" ht="15.75" x14ac:dyDescent="0.25">
      <c r="B7" s="12"/>
      <c r="C7" t="s">
        <v>71</v>
      </c>
      <c r="L7" s="13"/>
    </row>
    <row r="8" spans="2:12" x14ac:dyDescent="0.25">
      <c r="B8" s="31"/>
      <c r="C8" s="32"/>
      <c r="D8" s="32"/>
      <c r="E8" s="32"/>
      <c r="F8" s="32"/>
      <c r="G8" s="32"/>
      <c r="H8" s="32"/>
      <c r="I8" s="32"/>
      <c r="J8" s="32"/>
      <c r="K8" s="32"/>
      <c r="L8" s="33"/>
    </row>
    <row r="9" spans="2:12" ht="18.75" x14ac:dyDescent="0.3">
      <c r="B9" s="34" t="s">
        <v>2</v>
      </c>
      <c r="C9" s="10"/>
      <c r="D9" s="10"/>
      <c r="E9" s="10"/>
      <c r="F9" s="10"/>
      <c r="G9" s="10"/>
      <c r="H9" s="54" t="s">
        <v>64</v>
      </c>
      <c r="I9" s="55"/>
      <c r="J9" s="55"/>
      <c r="K9" s="55"/>
      <c r="L9" s="56"/>
    </row>
    <row r="10" spans="2:12" x14ac:dyDescent="0.25">
      <c r="B10" s="14"/>
      <c r="D10" s="2" t="s">
        <v>6</v>
      </c>
      <c r="E10" s="2" t="s">
        <v>7</v>
      </c>
      <c r="H10" s="57" t="s">
        <v>62</v>
      </c>
      <c r="I10" s="72" t="s">
        <v>63</v>
      </c>
      <c r="J10" s="73"/>
      <c r="K10" s="73"/>
      <c r="L10" s="58"/>
    </row>
    <row r="11" spans="2:12" x14ac:dyDescent="0.25">
      <c r="B11" s="66" t="s">
        <v>9</v>
      </c>
      <c r="C11" s="70">
        <v>166</v>
      </c>
      <c r="D11" s="70"/>
      <c r="E11" s="70"/>
      <c r="H11" s="59">
        <v>4.8</v>
      </c>
      <c r="I11" s="60">
        <v>28.2</v>
      </c>
      <c r="J11" s="73"/>
      <c r="K11" s="73"/>
      <c r="L11" s="58"/>
    </row>
    <row r="12" spans="2:12" x14ac:dyDescent="0.25">
      <c r="B12" s="66" t="s">
        <v>16</v>
      </c>
      <c r="C12" s="70"/>
      <c r="D12" s="15"/>
      <c r="E12" s="71">
        <v>0.03</v>
      </c>
      <c r="H12" s="59">
        <v>4.5</v>
      </c>
      <c r="I12" s="60">
        <v>22.3</v>
      </c>
      <c r="J12" s="73"/>
      <c r="K12" s="73"/>
      <c r="L12" s="58"/>
    </row>
    <row r="13" spans="2:12" x14ac:dyDescent="0.25">
      <c r="B13" s="66" t="s">
        <v>24</v>
      </c>
      <c r="C13" s="70"/>
      <c r="D13" s="15">
        <v>16.2</v>
      </c>
      <c r="E13" s="70"/>
      <c r="H13" s="59">
        <v>4.3</v>
      </c>
      <c r="I13" s="60">
        <v>18.2</v>
      </c>
      <c r="J13" s="73"/>
      <c r="K13" s="73"/>
      <c r="L13" s="58"/>
    </row>
    <row r="14" spans="2:12" x14ac:dyDescent="0.25">
      <c r="B14" s="66" t="s">
        <v>12</v>
      </c>
      <c r="C14" s="70"/>
      <c r="D14" s="15">
        <v>25</v>
      </c>
      <c r="E14" s="70"/>
      <c r="H14" s="59">
        <v>4.0999999999999996</v>
      </c>
      <c r="I14" s="60">
        <v>14.2</v>
      </c>
      <c r="J14" s="73"/>
      <c r="K14" s="73"/>
      <c r="L14" s="58"/>
    </row>
    <row r="15" spans="2:12" x14ac:dyDescent="0.25">
      <c r="B15" s="90" t="s">
        <v>5</v>
      </c>
      <c r="C15" s="81"/>
      <c r="D15" s="81"/>
      <c r="E15" s="82">
        <v>1.3</v>
      </c>
      <c r="H15" s="59">
        <v>3.9</v>
      </c>
      <c r="I15" s="60">
        <v>10</v>
      </c>
      <c r="J15" s="73"/>
      <c r="K15" s="73"/>
      <c r="L15" s="58"/>
    </row>
    <row r="16" spans="2:12" x14ac:dyDescent="0.25">
      <c r="B16" s="91" t="s">
        <v>8</v>
      </c>
      <c r="C16" s="83"/>
      <c r="D16" s="83"/>
      <c r="E16" s="84">
        <v>1.5</v>
      </c>
      <c r="H16" s="59"/>
      <c r="I16" s="60"/>
      <c r="J16" s="73"/>
      <c r="K16" s="73"/>
      <c r="L16" s="58"/>
    </row>
    <row r="17" spans="2:13" x14ac:dyDescent="0.25">
      <c r="B17" s="91" t="s">
        <v>19</v>
      </c>
      <c r="C17" s="83"/>
      <c r="D17" s="85">
        <v>22.3</v>
      </c>
      <c r="E17" s="86"/>
      <c r="H17" s="61" t="s">
        <v>65</v>
      </c>
      <c r="I17" s="73"/>
      <c r="J17" s="73"/>
      <c r="K17" s="73"/>
      <c r="L17" s="58"/>
    </row>
    <row r="18" spans="2:13" x14ac:dyDescent="0.25">
      <c r="B18" s="92" t="s">
        <v>3</v>
      </c>
      <c r="C18" s="87">
        <v>0.06</v>
      </c>
      <c r="D18" s="88"/>
      <c r="E18" s="89"/>
      <c r="H18" s="62" t="s">
        <v>66</v>
      </c>
      <c r="I18" s="63"/>
      <c r="J18" s="63"/>
      <c r="K18" s="63"/>
      <c r="L18" s="64"/>
    </row>
    <row r="19" spans="2:13" x14ac:dyDescent="0.25">
      <c r="B19" s="14"/>
      <c r="L19" s="13"/>
    </row>
    <row r="20" spans="2:13" x14ac:dyDescent="0.25">
      <c r="B20" s="14"/>
      <c r="C20" s="118" t="s">
        <v>0</v>
      </c>
      <c r="D20" s="118"/>
      <c r="E20" s="118"/>
      <c r="F20" s="118"/>
      <c r="G20" s="118"/>
      <c r="H20" s="118"/>
      <c r="I20" s="118"/>
      <c r="J20" s="118"/>
      <c r="K20" s="118"/>
      <c r="L20" s="119"/>
    </row>
    <row r="21" spans="2:13" x14ac:dyDescent="0.25">
      <c r="B21" s="14"/>
      <c r="C21" s="2">
        <v>1</v>
      </c>
      <c r="D21" s="2">
        <v>2</v>
      </c>
      <c r="E21" s="2">
        <v>3</v>
      </c>
      <c r="F21" s="2">
        <v>4</v>
      </c>
      <c r="G21" s="2">
        <v>5</v>
      </c>
      <c r="H21" s="2">
        <v>6</v>
      </c>
      <c r="I21" s="2">
        <v>7</v>
      </c>
      <c r="J21" s="2">
        <v>8</v>
      </c>
      <c r="K21" s="2">
        <v>9</v>
      </c>
      <c r="L21" s="17">
        <v>10</v>
      </c>
    </row>
    <row r="22" spans="2:13" x14ac:dyDescent="0.25">
      <c r="B22" s="14" t="s">
        <v>18</v>
      </c>
      <c r="C22" s="16"/>
      <c r="D22" s="74"/>
      <c r="L22" s="13"/>
    </row>
    <row r="23" spans="2:13" x14ac:dyDescent="0.25">
      <c r="B23" s="14" t="s">
        <v>13</v>
      </c>
      <c r="C23" s="4">
        <v>21.3</v>
      </c>
      <c r="D23" s="1">
        <f>C25</f>
        <v>11.5</v>
      </c>
      <c r="E23" s="1">
        <f t="shared" ref="E23:L23" si="0">D25</f>
        <v>3.5</v>
      </c>
      <c r="F23" s="1">
        <f t="shared" si="0"/>
        <v>0</v>
      </c>
      <c r="G23" s="1">
        <f t="shared" si="0"/>
        <v>0</v>
      </c>
      <c r="H23" s="1">
        <f t="shared" si="0"/>
        <v>0</v>
      </c>
      <c r="I23" s="1">
        <f t="shared" si="0"/>
        <v>0</v>
      </c>
      <c r="J23" s="1">
        <f t="shared" si="0"/>
        <v>0</v>
      </c>
      <c r="K23" s="1">
        <f t="shared" si="0"/>
        <v>0</v>
      </c>
      <c r="L23" s="18">
        <f t="shared" si="0"/>
        <v>0</v>
      </c>
    </row>
    <row r="24" spans="2:13" s="70" customFormat="1" x14ac:dyDescent="0.25">
      <c r="B24" s="66" t="s">
        <v>14</v>
      </c>
      <c r="C24" s="67">
        <v>-9.8000000000000007</v>
      </c>
      <c r="D24" s="68">
        <f>-8</f>
        <v>-8</v>
      </c>
      <c r="E24" s="68">
        <v>-3.5</v>
      </c>
      <c r="F24" s="68"/>
      <c r="G24" s="68"/>
      <c r="H24" s="68"/>
      <c r="I24" s="68"/>
      <c r="J24" s="68"/>
      <c r="K24" s="68"/>
      <c r="L24" s="69"/>
    </row>
    <row r="25" spans="2:13" x14ac:dyDescent="0.25">
      <c r="B25" s="14" t="s">
        <v>15</v>
      </c>
      <c r="C25" s="4">
        <f>SUM(C23:C24)</f>
        <v>11.5</v>
      </c>
      <c r="D25" s="4">
        <f t="shared" ref="D25:L25" si="1">SUM(D23:D24)</f>
        <v>3.5</v>
      </c>
      <c r="E25" s="4">
        <f t="shared" si="1"/>
        <v>0</v>
      </c>
      <c r="F25" s="4">
        <f t="shared" si="1"/>
        <v>0</v>
      </c>
      <c r="G25" s="4">
        <f t="shared" si="1"/>
        <v>0</v>
      </c>
      <c r="H25" s="4">
        <f t="shared" si="1"/>
        <v>0</v>
      </c>
      <c r="I25" s="4">
        <f t="shared" si="1"/>
        <v>0</v>
      </c>
      <c r="J25" s="4">
        <f t="shared" si="1"/>
        <v>0</v>
      </c>
      <c r="K25" s="4">
        <f t="shared" si="1"/>
        <v>0</v>
      </c>
      <c r="L25" s="19">
        <f t="shared" si="1"/>
        <v>0</v>
      </c>
    </row>
    <row r="26" spans="2:13" x14ac:dyDescent="0.25">
      <c r="B26" s="14"/>
      <c r="C26" s="4"/>
      <c r="D26" s="4"/>
      <c r="E26" s="4"/>
      <c r="F26" s="4"/>
      <c r="G26" s="4"/>
      <c r="H26" s="4"/>
      <c r="I26" s="4"/>
      <c r="J26" s="4"/>
      <c r="K26" s="4"/>
      <c r="L26" s="19"/>
    </row>
    <row r="27" spans="2:13" x14ac:dyDescent="0.25">
      <c r="B27" s="14" t="s">
        <v>75</v>
      </c>
      <c r="C27" s="4"/>
      <c r="D27" s="4"/>
      <c r="E27" s="4"/>
      <c r="F27" s="4"/>
      <c r="G27" s="4"/>
      <c r="H27" s="4"/>
      <c r="I27" s="4"/>
      <c r="J27" s="4"/>
      <c r="K27" s="4"/>
      <c r="L27" s="19"/>
    </row>
    <row r="28" spans="2:13" x14ac:dyDescent="0.25">
      <c r="B28" s="14" t="s">
        <v>42</v>
      </c>
      <c r="C28" s="4">
        <f>9.8+C24</f>
        <v>0</v>
      </c>
      <c r="D28" s="4">
        <f>9.8+D24</f>
        <v>1.8000000000000007</v>
      </c>
      <c r="E28" s="4">
        <f>9.8+E24</f>
        <v>6.3000000000000007</v>
      </c>
      <c r="F28" s="4">
        <f t="shared" ref="F28:L28" si="2">9.8+F24</f>
        <v>9.8000000000000007</v>
      </c>
      <c r="G28" s="4">
        <f t="shared" si="2"/>
        <v>9.8000000000000007</v>
      </c>
      <c r="H28" s="4">
        <f t="shared" si="2"/>
        <v>9.8000000000000007</v>
      </c>
      <c r="I28" s="4">
        <f t="shared" si="2"/>
        <v>9.8000000000000007</v>
      </c>
      <c r="J28" s="4">
        <f t="shared" si="2"/>
        <v>9.8000000000000007</v>
      </c>
      <c r="K28" s="4">
        <f t="shared" si="2"/>
        <v>9.8000000000000007</v>
      </c>
      <c r="L28" s="19">
        <f t="shared" si="2"/>
        <v>9.8000000000000007</v>
      </c>
    </row>
    <row r="29" spans="2:13" x14ac:dyDescent="0.25">
      <c r="B29" s="14" t="s">
        <v>43</v>
      </c>
      <c r="C29" s="4">
        <v>0</v>
      </c>
      <c r="D29" s="4">
        <v>0</v>
      </c>
      <c r="E29" s="4">
        <v>6.3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19">
        <v>0</v>
      </c>
      <c r="M29" s="1"/>
    </row>
    <row r="30" spans="2:13" s="70" customFormat="1" x14ac:dyDescent="0.25">
      <c r="B30" s="66" t="s">
        <v>70</v>
      </c>
      <c r="C30" s="67">
        <v>0</v>
      </c>
      <c r="D30" s="67">
        <v>0</v>
      </c>
      <c r="E30" s="67"/>
      <c r="F30" s="67">
        <v>-4</v>
      </c>
      <c r="G30" s="67">
        <v>0</v>
      </c>
      <c r="H30" s="67">
        <v>0</v>
      </c>
      <c r="I30" s="67">
        <v>0</v>
      </c>
      <c r="J30" s="67">
        <v>-4</v>
      </c>
      <c r="K30" s="67">
        <v>0</v>
      </c>
      <c r="L30" s="75">
        <v>0</v>
      </c>
    </row>
    <row r="31" spans="2:13" x14ac:dyDescent="0.25">
      <c r="B31" s="14"/>
      <c r="C31" s="16">
        <f>SUM(C28:C30)</f>
        <v>0</v>
      </c>
      <c r="D31" s="16">
        <f t="shared" ref="D31:L31" si="3">SUM(D28:D30)</f>
        <v>1.8000000000000007</v>
      </c>
      <c r="E31" s="16">
        <f t="shared" si="3"/>
        <v>12.600000000000001</v>
      </c>
      <c r="F31" s="16">
        <f t="shared" si="3"/>
        <v>5.8000000000000007</v>
      </c>
      <c r="G31" s="16">
        <f t="shared" si="3"/>
        <v>9.8000000000000007</v>
      </c>
      <c r="H31" s="16">
        <f t="shared" si="3"/>
        <v>9.8000000000000007</v>
      </c>
      <c r="I31" s="16">
        <f t="shared" si="3"/>
        <v>9.8000000000000007</v>
      </c>
      <c r="J31" s="16">
        <f t="shared" si="3"/>
        <v>5.8000000000000007</v>
      </c>
      <c r="K31" s="16">
        <f t="shared" si="3"/>
        <v>9.8000000000000007</v>
      </c>
      <c r="L31" s="20">
        <f t="shared" si="3"/>
        <v>9.8000000000000007</v>
      </c>
    </row>
    <row r="32" spans="2:13" x14ac:dyDescent="0.25">
      <c r="B32" s="31"/>
      <c r="C32" s="35"/>
      <c r="D32" s="36"/>
      <c r="E32" s="35"/>
      <c r="F32" s="36"/>
      <c r="G32" s="35"/>
      <c r="H32" s="32"/>
      <c r="I32" s="35"/>
      <c r="J32" s="32"/>
      <c r="K32" s="32"/>
      <c r="L32" s="33"/>
    </row>
    <row r="33" spans="2:18" ht="18.75" x14ac:dyDescent="0.3">
      <c r="B33" s="37" t="s">
        <v>44</v>
      </c>
      <c r="C33" s="77"/>
      <c r="D33" s="78"/>
      <c r="E33" s="77"/>
      <c r="F33" s="78"/>
      <c r="G33" s="77"/>
      <c r="I33" s="77"/>
      <c r="L33" s="13"/>
    </row>
    <row r="34" spans="2:18" x14ac:dyDescent="0.25">
      <c r="B34" s="14"/>
      <c r="C34" s="118" t="s">
        <v>0</v>
      </c>
      <c r="D34" s="118"/>
      <c r="E34" s="118"/>
      <c r="F34" s="118"/>
      <c r="G34" s="118"/>
      <c r="H34" s="118"/>
      <c r="I34" s="118"/>
      <c r="J34" s="118"/>
      <c r="K34" s="118"/>
      <c r="L34" s="119"/>
    </row>
    <row r="35" spans="2:18" x14ac:dyDescent="0.25">
      <c r="B35" s="14"/>
      <c r="C35" s="2">
        <v>1</v>
      </c>
      <c r="D35" s="2">
        <v>2</v>
      </c>
      <c r="E35" s="2">
        <v>3</v>
      </c>
      <c r="F35" s="2">
        <v>4</v>
      </c>
      <c r="G35" s="2">
        <v>5</v>
      </c>
      <c r="H35" s="2">
        <v>6</v>
      </c>
      <c r="I35" s="2">
        <v>7</v>
      </c>
      <c r="J35" s="2">
        <v>8</v>
      </c>
      <c r="K35" s="2">
        <v>9</v>
      </c>
      <c r="L35" s="17">
        <v>10</v>
      </c>
    </row>
    <row r="36" spans="2:18" x14ac:dyDescent="0.25">
      <c r="B36" s="14"/>
      <c r="L36" s="13"/>
    </row>
    <row r="37" spans="2:18" x14ac:dyDescent="0.25">
      <c r="B37" s="14" t="s">
        <v>10</v>
      </c>
      <c r="C37">
        <f>+C11</f>
        <v>166</v>
      </c>
      <c r="D37">
        <f>+C37</f>
        <v>166</v>
      </c>
      <c r="E37">
        <f t="shared" ref="E37:L37" si="4">+D37</f>
        <v>166</v>
      </c>
      <c r="F37">
        <f t="shared" si="4"/>
        <v>166</v>
      </c>
      <c r="G37">
        <f t="shared" si="4"/>
        <v>166</v>
      </c>
      <c r="H37">
        <f t="shared" si="4"/>
        <v>166</v>
      </c>
      <c r="I37">
        <f t="shared" si="4"/>
        <v>166</v>
      </c>
      <c r="J37">
        <f t="shared" si="4"/>
        <v>166</v>
      </c>
      <c r="K37">
        <f t="shared" si="4"/>
        <v>166</v>
      </c>
      <c r="L37" s="13">
        <f t="shared" si="4"/>
        <v>166</v>
      </c>
    </row>
    <row r="38" spans="2:18" x14ac:dyDescent="0.25">
      <c r="B38" s="14"/>
      <c r="L38" s="13"/>
      <c r="P38" s="6"/>
      <c r="R38" s="6"/>
    </row>
    <row r="39" spans="2:18" x14ac:dyDescent="0.25">
      <c r="B39" s="14" t="s">
        <v>20</v>
      </c>
      <c r="C39" s="4">
        <f t="shared" ref="C39:L39" si="5">$D$17+C31</f>
        <v>22.3</v>
      </c>
      <c r="D39" s="4">
        <f t="shared" si="5"/>
        <v>24.1</v>
      </c>
      <c r="E39" s="4">
        <f t="shared" si="5"/>
        <v>34.900000000000006</v>
      </c>
      <c r="F39" s="4">
        <f t="shared" si="5"/>
        <v>28.1</v>
      </c>
      <c r="G39" s="4">
        <f t="shared" si="5"/>
        <v>32.1</v>
      </c>
      <c r="H39" s="4">
        <f t="shared" si="5"/>
        <v>32.1</v>
      </c>
      <c r="I39" s="4">
        <f t="shared" si="5"/>
        <v>32.1</v>
      </c>
      <c r="J39" s="4">
        <f t="shared" si="5"/>
        <v>28.1</v>
      </c>
      <c r="K39" s="4">
        <f t="shared" si="5"/>
        <v>32.1</v>
      </c>
      <c r="L39" s="19">
        <f t="shared" si="5"/>
        <v>32.1</v>
      </c>
      <c r="P39" s="1"/>
      <c r="R39" s="1"/>
    </row>
    <row r="40" spans="2:18" x14ac:dyDescent="0.25">
      <c r="B40" s="14" t="s">
        <v>17</v>
      </c>
      <c r="C40" s="4">
        <f>(C11*-E12*4)/E15</f>
        <v>-15.323076923076922</v>
      </c>
      <c r="D40" s="4">
        <f>C40</f>
        <v>-15.323076923076922</v>
      </c>
      <c r="E40" s="4">
        <f t="shared" ref="E40:L40" si="6">D40</f>
        <v>-15.323076923076922</v>
      </c>
      <c r="F40" s="4">
        <f t="shared" si="6"/>
        <v>-15.323076923076922</v>
      </c>
      <c r="G40" s="4">
        <f t="shared" si="6"/>
        <v>-15.323076923076922</v>
      </c>
      <c r="H40" s="4">
        <f t="shared" si="6"/>
        <v>-15.323076923076922</v>
      </c>
      <c r="I40" s="4">
        <f t="shared" si="6"/>
        <v>-15.323076923076922</v>
      </c>
      <c r="J40" s="4">
        <f t="shared" si="6"/>
        <v>-15.323076923076922</v>
      </c>
      <c r="K40" s="4">
        <f t="shared" si="6"/>
        <v>-15.323076923076922</v>
      </c>
      <c r="L40" s="19">
        <f t="shared" si="6"/>
        <v>-15.323076923076922</v>
      </c>
      <c r="P40" s="6"/>
      <c r="R40" s="6"/>
    </row>
    <row r="41" spans="2:18" x14ac:dyDescent="0.25">
      <c r="B41" s="14" t="s">
        <v>22</v>
      </c>
      <c r="C41" s="5">
        <f>C40*0.11</f>
        <v>-1.6855384615384614</v>
      </c>
      <c r="D41" s="5">
        <f t="shared" ref="D41:L41" si="7">D40*0.11</f>
        <v>-1.6855384615384614</v>
      </c>
      <c r="E41" s="5">
        <f t="shared" si="7"/>
        <v>-1.6855384615384614</v>
      </c>
      <c r="F41" s="5">
        <f t="shared" si="7"/>
        <v>-1.6855384615384614</v>
      </c>
      <c r="G41" s="5">
        <f t="shared" si="7"/>
        <v>-1.6855384615384614</v>
      </c>
      <c r="H41" s="5">
        <f t="shared" si="7"/>
        <v>-1.6855384615384614</v>
      </c>
      <c r="I41" s="5">
        <f t="shared" si="7"/>
        <v>-1.6855384615384614</v>
      </c>
      <c r="J41" s="5">
        <f t="shared" si="7"/>
        <v>-1.6855384615384614</v>
      </c>
      <c r="K41" s="5">
        <f t="shared" si="7"/>
        <v>-1.6855384615384614</v>
      </c>
      <c r="L41" s="21">
        <f t="shared" si="7"/>
        <v>-1.6855384615384614</v>
      </c>
      <c r="P41" s="6"/>
      <c r="R41" s="6"/>
    </row>
    <row r="42" spans="2:18" x14ac:dyDescent="0.25">
      <c r="B42" s="14" t="s">
        <v>21</v>
      </c>
      <c r="C42" s="4">
        <f>SUM(C39:C41)</f>
        <v>5.2913846153846169</v>
      </c>
      <c r="D42" s="4">
        <f t="shared" ref="D42:L42" si="8">SUM(D39:D41)</f>
        <v>7.0913846153846176</v>
      </c>
      <c r="E42" s="4">
        <f t="shared" si="8"/>
        <v>17.891384615384624</v>
      </c>
      <c r="F42" s="4">
        <f t="shared" si="8"/>
        <v>11.091384615384618</v>
      </c>
      <c r="G42" s="4">
        <f t="shared" si="8"/>
        <v>15.091384615384618</v>
      </c>
      <c r="H42" s="4">
        <f t="shared" si="8"/>
        <v>15.091384615384618</v>
      </c>
      <c r="I42" s="4">
        <f t="shared" si="8"/>
        <v>15.091384615384618</v>
      </c>
      <c r="J42" s="4">
        <f t="shared" si="8"/>
        <v>11.091384615384618</v>
      </c>
      <c r="K42" s="4">
        <f t="shared" si="8"/>
        <v>15.091384615384618</v>
      </c>
      <c r="L42" s="19">
        <f t="shared" si="8"/>
        <v>15.091384615384618</v>
      </c>
      <c r="P42" s="6"/>
    </row>
    <row r="43" spans="2:18" x14ac:dyDescent="0.25">
      <c r="B43" s="14"/>
      <c r="C43" s="4"/>
      <c r="D43" s="4"/>
      <c r="E43" s="4"/>
      <c r="F43" s="4"/>
      <c r="G43" s="4"/>
      <c r="H43" s="4"/>
      <c r="I43" s="4"/>
      <c r="J43" s="4"/>
      <c r="K43" s="4"/>
      <c r="L43" s="19"/>
      <c r="P43" s="6"/>
    </row>
    <row r="44" spans="2:18" x14ac:dyDescent="0.25">
      <c r="B44" s="14" t="s">
        <v>72</v>
      </c>
      <c r="C44" s="4">
        <f>D13+C42</f>
        <v>21.491384615384618</v>
      </c>
      <c r="D44" s="4">
        <f>C57+D42</f>
        <v>28.582769230769237</v>
      </c>
      <c r="E44" s="4">
        <f>D57+E42</f>
        <v>42.891388198153848</v>
      </c>
      <c r="F44" s="4">
        <f t="shared" ref="F44:L44" si="9">E57+F42</f>
        <v>36.091402506772809</v>
      </c>
      <c r="G44" s="4">
        <f t="shared" si="9"/>
        <v>40.091395706787118</v>
      </c>
      <c r="H44" s="4">
        <f t="shared" si="9"/>
        <v>40.091399706780322</v>
      </c>
      <c r="I44" s="4">
        <f t="shared" si="9"/>
        <v>40.091399706784323</v>
      </c>
      <c r="J44" s="4">
        <f t="shared" si="9"/>
        <v>36.091399706784323</v>
      </c>
      <c r="K44" s="4">
        <f t="shared" si="9"/>
        <v>40.091395706784326</v>
      </c>
      <c r="L44" s="19">
        <f t="shared" si="9"/>
        <v>40.091399706780315</v>
      </c>
      <c r="P44" s="6"/>
    </row>
    <row r="45" spans="2:18" x14ac:dyDescent="0.25">
      <c r="B45" s="14" t="s">
        <v>73</v>
      </c>
      <c r="C45" s="76" t="str">
        <f>IF(C44&lt;25,"No", "Yes")</f>
        <v>No</v>
      </c>
      <c r="D45" s="76" t="str">
        <f t="shared" ref="D45:L45" si="10">IF(D44&lt;25,"No", "Yes")</f>
        <v>Yes</v>
      </c>
      <c r="E45" s="76" t="str">
        <f t="shared" si="10"/>
        <v>Yes</v>
      </c>
      <c r="F45" s="76" t="str">
        <f t="shared" si="10"/>
        <v>Yes</v>
      </c>
      <c r="G45" s="76" t="str">
        <f t="shared" si="10"/>
        <v>Yes</v>
      </c>
      <c r="H45" s="76" t="str">
        <f t="shared" si="10"/>
        <v>Yes</v>
      </c>
      <c r="I45" s="76" t="str">
        <f t="shared" si="10"/>
        <v>Yes</v>
      </c>
      <c r="J45" s="76" t="str">
        <f t="shared" si="10"/>
        <v>Yes</v>
      </c>
      <c r="K45" s="76" t="str">
        <f t="shared" si="10"/>
        <v>Yes</v>
      </c>
      <c r="L45" s="79" t="str">
        <f t="shared" si="10"/>
        <v>Yes</v>
      </c>
      <c r="P45" s="6"/>
    </row>
    <row r="46" spans="2:18" x14ac:dyDescent="0.25">
      <c r="B46" s="14" t="s">
        <v>74</v>
      </c>
      <c r="C46" s="15">
        <f>IF(C45="No",0,(C44-$D$14))</f>
        <v>0</v>
      </c>
      <c r="D46" s="15">
        <f t="shared" ref="D46:L46" si="11">IF(D45="No",0,(D44-$D$14))</f>
        <v>3.5827692307692374</v>
      </c>
      <c r="E46" s="15">
        <f t="shared" si="11"/>
        <v>17.891388198153848</v>
      </c>
      <c r="F46" s="15">
        <f t="shared" si="11"/>
        <v>11.091402506772809</v>
      </c>
      <c r="G46" s="15">
        <f t="shared" si="11"/>
        <v>15.091395706787118</v>
      </c>
      <c r="H46" s="15">
        <f t="shared" si="11"/>
        <v>15.091399706780322</v>
      </c>
      <c r="I46" s="15">
        <f t="shared" si="11"/>
        <v>15.091399706784323</v>
      </c>
      <c r="J46" s="15">
        <f t="shared" si="11"/>
        <v>11.091399706784323</v>
      </c>
      <c r="K46" s="15">
        <f t="shared" si="11"/>
        <v>15.091395706784326</v>
      </c>
      <c r="L46" s="80">
        <f t="shared" si="11"/>
        <v>15.091399706780315</v>
      </c>
    </row>
    <row r="47" spans="2:18" x14ac:dyDescent="0.25">
      <c r="B47" s="14"/>
      <c r="C47" s="4"/>
      <c r="D47" s="4"/>
      <c r="E47" s="4"/>
      <c r="F47" s="4"/>
      <c r="G47" s="4"/>
      <c r="H47" s="4"/>
      <c r="I47" s="4"/>
      <c r="J47" s="4"/>
      <c r="K47" s="4"/>
      <c r="L47" s="19"/>
    </row>
    <row r="48" spans="2:18" x14ac:dyDescent="0.25">
      <c r="B48" s="14" t="s">
        <v>25</v>
      </c>
      <c r="C48" s="4">
        <f>IF(C45="no",0,((C46)*0.9009))</f>
        <v>0</v>
      </c>
      <c r="D48" s="4">
        <f t="shared" ref="D48:L48" si="12">IF(D45="no",0,((D46)*0.9009))</f>
        <v>3.2277168000000063</v>
      </c>
      <c r="E48" s="4">
        <f t="shared" si="12"/>
        <v>16.118351627716802</v>
      </c>
      <c r="F48" s="4">
        <f t="shared" si="12"/>
        <v>9.9922445183516242</v>
      </c>
      <c r="G48" s="4">
        <f t="shared" si="12"/>
        <v>13.595838392244515</v>
      </c>
      <c r="H48" s="4">
        <f t="shared" si="12"/>
        <v>13.595841995838393</v>
      </c>
      <c r="I48" s="4">
        <f t="shared" si="12"/>
        <v>13.595841995841997</v>
      </c>
      <c r="J48" s="4">
        <f t="shared" si="12"/>
        <v>9.9922419958419972</v>
      </c>
      <c r="K48" s="4">
        <f t="shared" si="12"/>
        <v>13.595838392241999</v>
      </c>
      <c r="L48" s="19">
        <f t="shared" si="12"/>
        <v>13.595841995838386</v>
      </c>
    </row>
    <row r="49" spans="2:12" x14ac:dyDescent="0.25">
      <c r="B49" s="14" t="s">
        <v>26</v>
      </c>
      <c r="C49" s="5">
        <f>C48*0.11</f>
        <v>0</v>
      </c>
      <c r="D49" s="5">
        <f t="shared" ref="D49:L49" si="13">D48*0.11</f>
        <v>0.35504884800000069</v>
      </c>
      <c r="E49" s="5">
        <f t="shared" si="13"/>
        <v>1.7730186790488482</v>
      </c>
      <c r="F49" s="5">
        <f t="shared" si="13"/>
        <v>1.0991468970186786</v>
      </c>
      <c r="G49" s="5">
        <f t="shared" si="13"/>
        <v>1.4955422231468967</v>
      </c>
      <c r="H49" s="5">
        <f t="shared" si="13"/>
        <v>1.4955426195422232</v>
      </c>
      <c r="I49" s="5">
        <f t="shared" si="13"/>
        <v>1.4955426195426198</v>
      </c>
      <c r="J49" s="5">
        <f t="shared" si="13"/>
        <v>1.0991466195426196</v>
      </c>
      <c r="K49" s="5">
        <f t="shared" si="13"/>
        <v>1.49554222314662</v>
      </c>
      <c r="L49" s="21">
        <f t="shared" si="13"/>
        <v>1.4955426195422226</v>
      </c>
    </row>
    <row r="50" spans="2:12" x14ac:dyDescent="0.25">
      <c r="B50" s="14"/>
      <c r="C50" s="4">
        <f>SUM(C48:C49)</f>
        <v>0</v>
      </c>
      <c r="D50" s="4">
        <f t="shared" ref="D50:L50" si="14">SUM(D48:D49)</f>
        <v>3.5827656480000067</v>
      </c>
      <c r="E50" s="4">
        <f t="shared" si="14"/>
        <v>17.891370306765651</v>
      </c>
      <c r="F50" s="4">
        <f t="shared" si="14"/>
        <v>11.091391415370303</v>
      </c>
      <c r="G50" s="4">
        <f t="shared" si="14"/>
        <v>15.091380615391412</v>
      </c>
      <c r="H50" s="4">
        <f t="shared" si="14"/>
        <v>15.091384615380615</v>
      </c>
      <c r="I50" s="4">
        <f t="shared" si="14"/>
        <v>15.091384615384618</v>
      </c>
      <c r="J50" s="4">
        <f t="shared" si="14"/>
        <v>11.091388615384616</v>
      </c>
      <c r="K50" s="4">
        <f t="shared" si="14"/>
        <v>15.091380615388619</v>
      </c>
      <c r="L50" s="19">
        <f t="shared" si="14"/>
        <v>15.091384615380608</v>
      </c>
    </row>
    <row r="51" spans="2:12" x14ac:dyDescent="0.25">
      <c r="B51" s="14"/>
      <c r="C51" s="4"/>
      <c r="D51" s="4"/>
      <c r="E51" s="4"/>
      <c r="F51" s="4"/>
      <c r="G51" s="4"/>
      <c r="H51" s="4"/>
      <c r="I51" s="4"/>
      <c r="J51" s="4"/>
      <c r="K51" s="4"/>
      <c r="L51" s="19"/>
    </row>
    <row r="52" spans="2:12" x14ac:dyDescent="0.25">
      <c r="B52" s="14" t="s">
        <v>23</v>
      </c>
      <c r="C52" s="4">
        <f>D13</f>
        <v>16.2</v>
      </c>
      <c r="D52" s="4">
        <f>C57</f>
        <v>21.491384615384618</v>
      </c>
      <c r="E52" s="4">
        <f t="shared" ref="E52:L52" si="15">D57</f>
        <v>25.000003582769228</v>
      </c>
      <c r="F52" s="4">
        <f t="shared" si="15"/>
        <v>25.000017891388193</v>
      </c>
      <c r="G52" s="4">
        <f t="shared" si="15"/>
        <v>25.000011091402499</v>
      </c>
      <c r="H52" s="4">
        <f t="shared" si="15"/>
        <v>25.000015091395706</v>
      </c>
      <c r="I52" s="4">
        <f t="shared" si="15"/>
        <v>25.000015091399703</v>
      </c>
      <c r="J52" s="4">
        <f t="shared" si="15"/>
        <v>25.000015091399707</v>
      </c>
      <c r="K52" s="4">
        <f t="shared" si="15"/>
        <v>25.000011091399706</v>
      </c>
      <c r="L52" s="19">
        <f t="shared" si="15"/>
        <v>25.000015091395699</v>
      </c>
    </row>
    <row r="53" spans="2:12" x14ac:dyDescent="0.25">
      <c r="B53" s="14" t="s">
        <v>20</v>
      </c>
      <c r="C53" s="4">
        <f t="shared" ref="C53:L53" si="16">C39</f>
        <v>22.3</v>
      </c>
      <c r="D53" s="4">
        <f t="shared" si="16"/>
        <v>24.1</v>
      </c>
      <c r="E53" s="4">
        <f t="shared" si="16"/>
        <v>34.900000000000006</v>
      </c>
      <c r="F53" s="4">
        <f t="shared" si="16"/>
        <v>28.1</v>
      </c>
      <c r="G53" s="4">
        <f t="shared" si="16"/>
        <v>32.1</v>
      </c>
      <c r="H53" s="4">
        <f t="shared" si="16"/>
        <v>32.1</v>
      </c>
      <c r="I53" s="4">
        <f t="shared" si="16"/>
        <v>32.1</v>
      </c>
      <c r="J53" s="4">
        <f t="shared" si="16"/>
        <v>28.1</v>
      </c>
      <c r="K53" s="4">
        <f t="shared" si="16"/>
        <v>32.1</v>
      </c>
      <c r="L53" s="19">
        <f t="shared" si="16"/>
        <v>32.1</v>
      </c>
    </row>
    <row r="54" spans="2:12" x14ac:dyDescent="0.25">
      <c r="B54" s="14" t="s">
        <v>17</v>
      </c>
      <c r="C54" s="4">
        <f t="shared" ref="C54:L54" si="17">C40</f>
        <v>-15.323076923076922</v>
      </c>
      <c r="D54" s="4">
        <f t="shared" si="17"/>
        <v>-15.323076923076922</v>
      </c>
      <c r="E54" s="4">
        <f t="shared" si="17"/>
        <v>-15.323076923076922</v>
      </c>
      <c r="F54" s="4">
        <f t="shared" si="17"/>
        <v>-15.323076923076922</v>
      </c>
      <c r="G54" s="4">
        <f t="shared" si="17"/>
        <v>-15.323076923076922</v>
      </c>
      <c r="H54" s="4">
        <f t="shared" si="17"/>
        <v>-15.323076923076922</v>
      </c>
      <c r="I54" s="4">
        <f t="shared" si="17"/>
        <v>-15.323076923076922</v>
      </c>
      <c r="J54" s="4">
        <f t="shared" si="17"/>
        <v>-15.323076923076922</v>
      </c>
      <c r="K54" s="4">
        <f t="shared" si="17"/>
        <v>-15.323076923076922</v>
      </c>
      <c r="L54" s="19">
        <f t="shared" si="17"/>
        <v>-15.323076923076922</v>
      </c>
    </row>
    <row r="55" spans="2:12" x14ac:dyDescent="0.25">
      <c r="B55" s="14" t="s">
        <v>35</v>
      </c>
      <c r="C55" s="4">
        <f>-C48</f>
        <v>0</v>
      </c>
      <c r="D55" s="4">
        <f t="shared" ref="D55:L55" si="18">-D48</f>
        <v>-3.2277168000000063</v>
      </c>
      <c r="E55" s="4">
        <f t="shared" si="18"/>
        <v>-16.118351627716802</v>
      </c>
      <c r="F55" s="4">
        <f t="shared" si="18"/>
        <v>-9.9922445183516242</v>
      </c>
      <c r="G55" s="4">
        <f t="shared" si="18"/>
        <v>-13.595838392244515</v>
      </c>
      <c r="H55" s="4">
        <f t="shared" si="18"/>
        <v>-13.595841995838393</v>
      </c>
      <c r="I55" s="4">
        <f t="shared" si="18"/>
        <v>-13.595841995841997</v>
      </c>
      <c r="J55" s="4">
        <f t="shared" si="18"/>
        <v>-9.9922419958419972</v>
      </c>
      <c r="K55" s="4">
        <f t="shared" si="18"/>
        <v>-13.595838392241999</v>
      </c>
      <c r="L55" s="19">
        <f t="shared" si="18"/>
        <v>-13.595841995838386</v>
      </c>
    </row>
    <row r="56" spans="2:12" x14ac:dyDescent="0.25">
      <c r="B56" s="14" t="s">
        <v>27</v>
      </c>
      <c r="C56" s="3">
        <f t="shared" ref="C56:L56" si="19">C41-C49</f>
        <v>-1.6855384615384614</v>
      </c>
      <c r="D56" s="3">
        <f t="shared" si="19"/>
        <v>-2.0405873095384619</v>
      </c>
      <c r="E56" s="3">
        <f t="shared" si="19"/>
        <v>-3.4585571405873097</v>
      </c>
      <c r="F56" s="3">
        <f t="shared" si="19"/>
        <v>-2.7846853585571401</v>
      </c>
      <c r="G56" s="3">
        <f t="shared" si="19"/>
        <v>-3.1810806846853579</v>
      </c>
      <c r="H56" s="3">
        <f t="shared" si="19"/>
        <v>-3.1810810810806847</v>
      </c>
      <c r="I56" s="3">
        <f t="shared" si="19"/>
        <v>-3.1810810810810812</v>
      </c>
      <c r="J56" s="3">
        <f t="shared" si="19"/>
        <v>-2.784685081081081</v>
      </c>
      <c r="K56" s="3">
        <f t="shared" si="19"/>
        <v>-3.1810806846850816</v>
      </c>
      <c r="L56" s="22">
        <f t="shared" si="19"/>
        <v>-3.1810810810806842</v>
      </c>
    </row>
    <row r="57" spans="2:12" x14ac:dyDescent="0.25">
      <c r="B57" s="14" t="s">
        <v>28</v>
      </c>
      <c r="C57" s="4">
        <f>SUM(C52:C56)</f>
        <v>21.491384615384618</v>
      </c>
      <c r="D57" s="4">
        <f t="shared" ref="D57:L57" si="20">SUM(D52:D56)</f>
        <v>25.000003582769228</v>
      </c>
      <c r="E57" s="4">
        <f t="shared" si="20"/>
        <v>25.000017891388193</v>
      </c>
      <c r="F57" s="4">
        <f t="shared" si="20"/>
        <v>25.000011091402499</v>
      </c>
      <c r="G57" s="4">
        <f t="shared" si="20"/>
        <v>25.000015091395706</v>
      </c>
      <c r="H57" s="4">
        <f t="shared" si="20"/>
        <v>25.000015091399703</v>
      </c>
      <c r="I57" s="4">
        <f t="shared" si="20"/>
        <v>25.000015091399707</v>
      </c>
      <c r="J57" s="4">
        <f t="shared" si="20"/>
        <v>25.000011091399706</v>
      </c>
      <c r="K57" s="4">
        <f t="shared" si="20"/>
        <v>25.000015091395699</v>
      </c>
      <c r="L57" s="19">
        <f t="shared" si="20"/>
        <v>25.00001509139971</v>
      </c>
    </row>
    <row r="58" spans="2:12" x14ac:dyDescent="0.25">
      <c r="B58" s="14"/>
      <c r="C58" s="4"/>
      <c r="D58" s="4"/>
      <c r="E58" s="4"/>
      <c r="F58" s="4"/>
      <c r="G58" s="4"/>
      <c r="H58" s="4"/>
      <c r="I58" s="4"/>
      <c r="J58" s="4"/>
      <c r="K58" s="4"/>
      <c r="L58" s="19"/>
    </row>
    <row r="59" spans="2:12" x14ac:dyDescent="0.25">
      <c r="B59" s="14" t="s">
        <v>30</v>
      </c>
      <c r="C59" s="16">
        <f t="shared" ref="C59:L59" si="21">C54/-C37</f>
        <v>9.2307692307692299E-2</v>
      </c>
      <c r="D59" s="16">
        <f t="shared" si="21"/>
        <v>9.2307692307692299E-2</v>
      </c>
      <c r="E59" s="16">
        <f t="shared" si="21"/>
        <v>9.2307692307692299E-2</v>
      </c>
      <c r="F59" s="16">
        <f t="shared" si="21"/>
        <v>9.2307692307692299E-2</v>
      </c>
      <c r="G59" s="16">
        <f t="shared" si="21"/>
        <v>9.2307692307692299E-2</v>
      </c>
      <c r="H59" s="16">
        <f t="shared" si="21"/>
        <v>9.2307692307692299E-2</v>
      </c>
      <c r="I59" s="16">
        <f t="shared" si="21"/>
        <v>9.2307692307692299E-2</v>
      </c>
      <c r="J59" s="16">
        <f t="shared" si="21"/>
        <v>9.2307692307692299E-2</v>
      </c>
      <c r="K59" s="16">
        <f t="shared" si="21"/>
        <v>9.2307692307692299E-2</v>
      </c>
      <c r="L59" s="20">
        <f t="shared" si="21"/>
        <v>9.2307692307692299E-2</v>
      </c>
    </row>
    <row r="60" spans="2:12" x14ac:dyDescent="0.25">
      <c r="B60" s="14" t="s">
        <v>29</v>
      </c>
      <c r="C60" s="7">
        <f t="shared" ref="C60:L60" si="22">C55/-C37</f>
        <v>0</v>
      </c>
      <c r="D60" s="7">
        <f t="shared" si="22"/>
        <v>1.9444077108433773E-2</v>
      </c>
      <c r="E60" s="7">
        <f t="shared" si="22"/>
        <v>9.7098503781426523E-2</v>
      </c>
      <c r="F60" s="7">
        <f t="shared" si="22"/>
        <v>6.0194244086455566E-2</v>
      </c>
      <c r="G60" s="7">
        <f t="shared" si="22"/>
        <v>8.190264091713563E-2</v>
      </c>
      <c r="H60" s="7">
        <f t="shared" si="22"/>
        <v>8.1902662625532488E-2</v>
      </c>
      <c r="I60" s="7">
        <f t="shared" si="22"/>
        <v>8.1902662625554207E-2</v>
      </c>
      <c r="J60" s="7">
        <f t="shared" si="22"/>
        <v>6.0194228890614439E-2</v>
      </c>
      <c r="K60" s="7">
        <f t="shared" si="22"/>
        <v>8.1902640917120476E-2</v>
      </c>
      <c r="L60" s="23">
        <f t="shared" si="22"/>
        <v>8.1902662625532446E-2</v>
      </c>
    </row>
    <row r="61" spans="2:12" x14ac:dyDescent="0.25">
      <c r="B61" s="14" t="s">
        <v>31</v>
      </c>
      <c r="C61" s="74">
        <f>SUM(C59:C60)</f>
        <v>9.2307692307692299E-2</v>
      </c>
      <c r="D61" s="74">
        <f t="shared" ref="D61:L61" si="23">SUM(D59:D60)</f>
        <v>0.11175176941612608</v>
      </c>
      <c r="E61" s="74">
        <f t="shared" si="23"/>
        <v>0.18940619608911882</v>
      </c>
      <c r="F61" s="74">
        <f t="shared" si="23"/>
        <v>0.15250193639414786</v>
      </c>
      <c r="G61" s="74">
        <f t="shared" si="23"/>
        <v>0.17421033322482793</v>
      </c>
      <c r="H61" s="74">
        <f t="shared" si="23"/>
        <v>0.17421035493322479</v>
      </c>
      <c r="I61" s="74">
        <f t="shared" si="23"/>
        <v>0.17421035493324649</v>
      </c>
      <c r="J61" s="74">
        <f t="shared" si="23"/>
        <v>0.15250192119830674</v>
      </c>
      <c r="K61" s="74">
        <f t="shared" si="23"/>
        <v>0.17421033322481277</v>
      </c>
      <c r="L61" s="24">
        <f t="shared" si="23"/>
        <v>0.17421035493322473</v>
      </c>
    </row>
    <row r="62" spans="2:12" ht="15.75" thickBot="1" x14ac:dyDescent="0.3">
      <c r="B62" s="14" t="s">
        <v>32</v>
      </c>
      <c r="C62" s="74">
        <f t="shared" ref="C62:L62" si="24">+C61*$E$15</f>
        <v>0.12</v>
      </c>
      <c r="D62" s="74">
        <f t="shared" si="24"/>
        <v>0.14527730024096391</v>
      </c>
      <c r="E62" s="74">
        <f t="shared" si="24"/>
        <v>0.24622805491585448</v>
      </c>
      <c r="F62" s="74">
        <f t="shared" si="24"/>
        <v>0.19825251731239221</v>
      </c>
      <c r="G62" s="74">
        <f t="shared" si="24"/>
        <v>0.22647343319227631</v>
      </c>
      <c r="H62" s="74">
        <f t="shared" si="24"/>
        <v>0.22647346141319222</v>
      </c>
      <c r="I62" s="74">
        <f t="shared" si="24"/>
        <v>0.22647346141322044</v>
      </c>
      <c r="J62" s="74">
        <f t="shared" si="24"/>
        <v>0.19825249755779878</v>
      </c>
      <c r="K62" s="74">
        <f t="shared" si="24"/>
        <v>0.2264734331922566</v>
      </c>
      <c r="L62" s="24">
        <f t="shared" si="24"/>
        <v>0.22647346141319216</v>
      </c>
    </row>
    <row r="63" spans="2:12" ht="15.75" thickBot="1" x14ac:dyDescent="0.3">
      <c r="B63" s="14" t="s">
        <v>33</v>
      </c>
      <c r="C63" s="74">
        <f>+C62</f>
        <v>0.12</v>
      </c>
      <c r="D63" s="74">
        <f>+C63+D62</f>
        <v>0.26527730024096391</v>
      </c>
      <c r="E63" s="74">
        <f>+D63+E62</f>
        <v>0.51150535515681839</v>
      </c>
      <c r="F63" s="74">
        <f t="shared" ref="F63:L63" si="25">+E63+F62</f>
        <v>0.70975787246921063</v>
      </c>
      <c r="G63" s="74">
        <f t="shared" si="25"/>
        <v>0.93623130566148693</v>
      </c>
      <c r="H63" s="74">
        <f t="shared" si="25"/>
        <v>1.1627047670746791</v>
      </c>
      <c r="I63" s="74">
        <f t="shared" si="25"/>
        <v>1.3891782284878995</v>
      </c>
      <c r="J63" s="74">
        <f t="shared" si="25"/>
        <v>1.5874307260456983</v>
      </c>
      <c r="K63" s="74">
        <f t="shared" si="25"/>
        <v>1.813904159237955</v>
      </c>
      <c r="L63" s="25">
        <f t="shared" si="25"/>
        <v>2.0403776206511473</v>
      </c>
    </row>
    <row r="64" spans="2:12" x14ac:dyDescent="0.25">
      <c r="B64" s="14" t="s">
        <v>58</v>
      </c>
      <c r="C64" s="28">
        <f t="shared" ref="C64:L64" si="26">+C62/$E$16</f>
        <v>0.08</v>
      </c>
      <c r="D64" s="28">
        <f t="shared" si="26"/>
        <v>9.6851533493975947E-2</v>
      </c>
      <c r="E64" s="28">
        <f t="shared" si="26"/>
        <v>0.16415203661056965</v>
      </c>
      <c r="F64" s="28">
        <f t="shared" si="26"/>
        <v>0.13216834487492815</v>
      </c>
      <c r="G64" s="28">
        <f t="shared" si="26"/>
        <v>0.15098228879485087</v>
      </c>
      <c r="H64" s="28">
        <f t="shared" si="26"/>
        <v>0.1509823076087948</v>
      </c>
      <c r="I64" s="28">
        <f t="shared" si="26"/>
        <v>0.15098230760881362</v>
      </c>
      <c r="J64" s="28">
        <f t="shared" si="26"/>
        <v>0.13216833170519918</v>
      </c>
      <c r="K64" s="28">
        <f t="shared" si="26"/>
        <v>0.15098228879483774</v>
      </c>
      <c r="L64" s="29">
        <f t="shared" si="26"/>
        <v>0.15098230760879477</v>
      </c>
    </row>
    <row r="65" spans="2:12" x14ac:dyDescent="0.25">
      <c r="B65" s="14" t="s">
        <v>59</v>
      </c>
      <c r="C65" s="28">
        <f t="shared" ref="C65:L65" si="27">+C63/$E$16</f>
        <v>0.08</v>
      </c>
      <c r="D65" s="28">
        <f t="shared" si="27"/>
        <v>0.17685153349397595</v>
      </c>
      <c r="E65" s="28">
        <f t="shared" si="27"/>
        <v>0.34100357010454557</v>
      </c>
      <c r="F65" s="28">
        <f t="shared" si="27"/>
        <v>0.47317191497947375</v>
      </c>
      <c r="G65" s="28">
        <f t="shared" si="27"/>
        <v>0.62415420377432462</v>
      </c>
      <c r="H65" s="28">
        <f t="shared" si="27"/>
        <v>0.77513651138311934</v>
      </c>
      <c r="I65" s="28">
        <f t="shared" si="27"/>
        <v>0.92611881899193305</v>
      </c>
      <c r="J65" s="28">
        <f t="shared" si="27"/>
        <v>1.0582871506971323</v>
      </c>
      <c r="K65" s="28">
        <f t="shared" si="27"/>
        <v>1.2092694394919701</v>
      </c>
      <c r="L65" s="29">
        <f t="shared" si="27"/>
        <v>1.3602517471007649</v>
      </c>
    </row>
    <row r="66" spans="2:12" x14ac:dyDescent="0.25">
      <c r="B66" s="41" t="s">
        <v>57</v>
      </c>
      <c r="C66" s="42"/>
      <c r="D66" s="42"/>
      <c r="E66" s="42"/>
      <c r="F66" s="42"/>
      <c r="G66" s="42"/>
      <c r="H66" s="42"/>
      <c r="I66" s="42"/>
      <c r="J66" s="42"/>
      <c r="K66" s="42"/>
      <c r="L66" s="43"/>
    </row>
    <row r="67" spans="2:12" x14ac:dyDescent="0.25">
      <c r="B67" s="38" t="s">
        <v>58</v>
      </c>
      <c r="C67" s="39">
        <f>+C94</f>
        <v>0.08</v>
      </c>
      <c r="D67" s="39">
        <f t="shared" ref="D67:L67" si="28">+D94</f>
        <v>0.10459965617349402</v>
      </c>
      <c r="E67" s="39">
        <f t="shared" si="28"/>
        <v>0.1931825760113082</v>
      </c>
      <c r="F67" s="39">
        <f t="shared" si="28"/>
        <v>0.1772382223320875</v>
      </c>
      <c r="G67" s="39">
        <f t="shared" si="28"/>
        <v>0.22242286751189438</v>
      </c>
      <c r="H67" s="39">
        <f t="shared" si="28"/>
        <v>0.2452185495983723</v>
      </c>
      <c r="I67" s="39">
        <f t="shared" si="28"/>
        <v>0.26801420680928245</v>
      </c>
      <c r="J67" s="39">
        <f t="shared" si="28"/>
        <v>0.25457191097215226</v>
      </c>
      <c r="K67" s="39">
        <f t="shared" si="28"/>
        <v>0.31076490500925813</v>
      </c>
      <c r="L67" s="44">
        <f t="shared" si="28"/>
        <v>0.33356059810408634</v>
      </c>
    </row>
    <row r="68" spans="2:12" x14ac:dyDescent="0.25">
      <c r="B68" s="45" t="s">
        <v>59</v>
      </c>
      <c r="C68" s="46">
        <f>+C94</f>
        <v>0.08</v>
      </c>
      <c r="D68" s="46">
        <f t="shared" ref="D68:L68" si="29">+D95</f>
        <v>0.18459965617349403</v>
      </c>
      <c r="E68" s="46">
        <f t="shared" si="29"/>
        <v>0.37778223218480222</v>
      </c>
      <c r="F68" s="46">
        <f t="shared" si="29"/>
        <v>0.55502045451688975</v>
      </c>
      <c r="G68" s="46">
        <f t="shared" si="29"/>
        <v>0.77744332202878419</v>
      </c>
      <c r="H68" s="46">
        <f t="shared" si="29"/>
        <v>1.0226618716271565</v>
      </c>
      <c r="I68" s="46">
        <f t="shared" si="29"/>
        <v>1.2906760784364391</v>
      </c>
      <c r="J68" s="46">
        <f t="shared" si="29"/>
        <v>1.5452479894085913</v>
      </c>
      <c r="K68" s="46">
        <f t="shared" si="29"/>
        <v>1.8560128944178493</v>
      </c>
      <c r="L68" s="47">
        <f t="shared" si="29"/>
        <v>2.1895734925219354</v>
      </c>
    </row>
    <row r="69" spans="2:12" x14ac:dyDescent="0.25">
      <c r="B69" s="14"/>
      <c r="C69" s="26"/>
      <c r="D69" s="26"/>
      <c r="E69" s="26"/>
      <c r="F69" s="26"/>
      <c r="G69" s="26"/>
      <c r="H69" s="26"/>
      <c r="I69" s="26"/>
      <c r="J69" s="26"/>
      <c r="K69" s="26"/>
      <c r="L69" s="27"/>
    </row>
    <row r="70" spans="2:12" x14ac:dyDescent="0.25">
      <c r="B70" s="14" t="s">
        <v>34</v>
      </c>
      <c r="C70" s="1">
        <f t="shared" ref="C70:L70" si="30">C37*$E$16</f>
        <v>249</v>
      </c>
      <c r="D70" s="1">
        <f t="shared" si="30"/>
        <v>249</v>
      </c>
      <c r="E70" s="1">
        <f t="shared" si="30"/>
        <v>249</v>
      </c>
      <c r="F70" s="1">
        <f t="shared" si="30"/>
        <v>249</v>
      </c>
      <c r="G70" s="1">
        <f t="shared" si="30"/>
        <v>249</v>
      </c>
      <c r="H70" s="1">
        <f t="shared" si="30"/>
        <v>249</v>
      </c>
      <c r="I70" s="1">
        <f t="shared" si="30"/>
        <v>249</v>
      </c>
      <c r="J70" s="1">
        <f t="shared" si="30"/>
        <v>249</v>
      </c>
      <c r="K70" s="1">
        <f t="shared" si="30"/>
        <v>249</v>
      </c>
      <c r="L70" s="18">
        <f t="shared" si="30"/>
        <v>249</v>
      </c>
    </row>
    <row r="71" spans="2:12" x14ac:dyDescent="0.25">
      <c r="B71" s="14" t="s">
        <v>20</v>
      </c>
      <c r="C71" s="1">
        <f t="shared" ref="C71:L71" si="31">C39</f>
        <v>22.3</v>
      </c>
      <c r="D71" s="1">
        <f t="shared" si="31"/>
        <v>24.1</v>
      </c>
      <c r="E71" s="1">
        <f t="shared" si="31"/>
        <v>34.900000000000006</v>
      </c>
      <c r="F71" s="1">
        <f t="shared" si="31"/>
        <v>28.1</v>
      </c>
      <c r="G71" s="1">
        <f t="shared" si="31"/>
        <v>32.1</v>
      </c>
      <c r="H71" s="1">
        <f t="shared" si="31"/>
        <v>32.1</v>
      </c>
      <c r="I71" s="1">
        <f t="shared" si="31"/>
        <v>32.1</v>
      </c>
      <c r="J71" s="1">
        <f t="shared" si="31"/>
        <v>28.1</v>
      </c>
      <c r="K71" s="1">
        <f t="shared" si="31"/>
        <v>32.1</v>
      </c>
      <c r="L71" s="18">
        <f t="shared" si="31"/>
        <v>32.1</v>
      </c>
    </row>
    <row r="72" spans="2:12" x14ac:dyDescent="0.25">
      <c r="B72" s="14" t="s">
        <v>37</v>
      </c>
      <c r="C72" s="1">
        <f t="shared" ref="C72:L72" si="32">C71*$E$15</f>
        <v>28.990000000000002</v>
      </c>
      <c r="D72" s="1">
        <f t="shared" si="32"/>
        <v>31.330000000000002</v>
      </c>
      <c r="E72" s="1">
        <f t="shared" si="32"/>
        <v>45.370000000000012</v>
      </c>
      <c r="F72" s="1">
        <f t="shared" si="32"/>
        <v>36.53</v>
      </c>
      <c r="G72" s="1">
        <f t="shared" si="32"/>
        <v>41.730000000000004</v>
      </c>
      <c r="H72" s="1">
        <f t="shared" si="32"/>
        <v>41.730000000000004</v>
      </c>
      <c r="I72" s="1">
        <f t="shared" si="32"/>
        <v>41.730000000000004</v>
      </c>
      <c r="J72" s="1">
        <f t="shared" si="32"/>
        <v>36.53</v>
      </c>
      <c r="K72" s="1">
        <f t="shared" si="32"/>
        <v>41.730000000000004</v>
      </c>
      <c r="L72" s="18">
        <f t="shared" si="32"/>
        <v>41.730000000000004</v>
      </c>
    </row>
    <row r="73" spans="2:12" x14ac:dyDescent="0.25">
      <c r="B73" s="14" t="s">
        <v>4</v>
      </c>
      <c r="C73" s="28">
        <f>+C72/C70</f>
        <v>0.11642570281124499</v>
      </c>
      <c r="D73" s="28">
        <f t="shared" ref="D73:L73" si="33">+D72/D70</f>
        <v>0.12582329317269078</v>
      </c>
      <c r="E73" s="28">
        <f t="shared" si="33"/>
        <v>0.1822088353413655</v>
      </c>
      <c r="F73" s="28">
        <f t="shared" si="33"/>
        <v>0.14670682730923695</v>
      </c>
      <c r="G73" s="28">
        <f t="shared" si="33"/>
        <v>0.16759036144578315</v>
      </c>
      <c r="H73" s="28">
        <f t="shared" si="33"/>
        <v>0.16759036144578315</v>
      </c>
      <c r="I73" s="28">
        <f t="shared" si="33"/>
        <v>0.16759036144578315</v>
      </c>
      <c r="J73" s="28">
        <f t="shared" si="33"/>
        <v>0.14670682730923695</v>
      </c>
      <c r="K73" s="28">
        <f t="shared" si="33"/>
        <v>0.16759036144578315</v>
      </c>
      <c r="L73" s="29">
        <f t="shared" si="33"/>
        <v>0.16759036144578315</v>
      </c>
    </row>
    <row r="74" spans="2:12" x14ac:dyDescent="0.25">
      <c r="B74" s="14"/>
      <c r="L74" s="13"/>
    </row>
    <row r="75" spans="2:12" x14ac:dyDescent="0.25">
      <c r="B75" s="14" t="s">
        <v>38</v>
      </c>
      <c r="C75" s="16">
        <f>+L72/C18</f>
        <v>695.50000000000011</v>
      </c>
      <c r="L75" s="13"/>
    </row>
    <row r="76" spans="2:12" x14ac:dyDescent="0.25">
      <c r="B76" s="14" t="s">
        <v>60</v>
      </c>
      <c r="C76" s="9">
        <f>+L70</f>
        <v>249</v>
      </c>
      <c r="L76" s="13"/>
    </row>
    <row r="77" spans="2:12" ht="15.75" thickBot="1" x14ac:dyDescent="0.3">
      <c r="B77" s="14" t="s">
        <v>39</v>
      </c>
      <c r="C77" s="4">
        <f>+C75-C76</f>
        <v>446.50000000000011</v>
      </c>
      <c r="L77" s="13"/>
    </row>
    <row r="78" spans="2:12" ht="15.75" thickBot="1" x14ac:dyDescent="0.3">
      <c r="B78" s="14" t="s">
        <v>40</v>
      </c>
      <c r="C78" s="8">
        <f>+C77/L37</f>
        <v>2.6897590361445789</v>
      </c>
      <c r="L78" s="13"/>
    </row>
    <row r="79" spans="2:12" ht="15.75" thickBot="1" x14ac:dyDescent="0.3">
      <c r="B79" s="14" t="s">
        <v>1</v>
      </c>
      <c r="C79" s="28">
        <f>C78/$E$16</f>
        <v>1.7931726907630525</v>
      </c>
      <c r="L79" s="13"/>
    </row>
    <row r="80" spans="2:12" ht="15.75" thickBot="1" x14ac:dyDescent="0.3">
      <c r="B80" s="30" t="s">
        <v>41</v>
      </c>
      <c r="C80" s="8">
        <f>L63+C78</f>
        <v>4.7301366567957261</v>
      </c>
      <c r="L80" s="13"/>
    </row>
    <row r="81" spans="2:12" x14ac:dyDescent="0.25">
      <c r="B81" s="31" t="s">
        <v>1</v>
      </c>
      <c r="C81" s="40">
        <f>+C80/$E$16</f>
        <v>3.1534244378638174</v>
      </c>
      <c r="D81" s="32"/>
      <c r="E81" s="32"/>
      <c r="F81" s="32"/>
      <c r="G81" s="32"/>
      <c r="H81" s="32"/>
      <c r="I81" s="32"/>
      <c r="J81" s="32"/>
      <c r="K81" s="32"/>
      <c r="L81" s="33"/>
    </row>
    <row r="83" spans="2:12" x14ac:dyDescent="0.25">
      <c r="B83" s="48" t="s">
        <v>45</v>
      </c>
      <c r="C83" s="10"/>
      <c r="D83" s="10"/>
      <c r="E83" s="10"/>
      <c r="F83" s="10"/>
      <c r="G83" s="10"/>
      <c r="H83" s="10"/>
      <c r="I83" s="10"/>
      <c r="J83" s="10"/>
      <c r="K83" s="10"/>
      <c r="L83" s="11"/>
    </row>
    <row r="84" spans="2:12" x14ac:dyDescent="0.25">
      <c r="B84" s="14" t="s">
        <v>61</v>
      </c>
      <c r="C84" s="28">
        <f t="shared" ref="C84:L84" si="34">+C64</f>
        <v>0.08</v>
      </c>
      <c r="D84" s="28">
        <f t="shared" si="34"/>
        <v>9.6851533493975947E-2</v>
      </c>
      <c r="E84" s="28">
        <f t="shared" si="34"/>
        <v>0.16415203661056965</v>
      </c>
      <c r="F84" s="28">
        <f t="shared" si="34"/>
        <v>0.13216834487492815</v>
      </c>
      <c r="G84" s="28">
        <f t="shared" si="34"/>
        <v>0.15098228879485087</v>
      </c>
      <c r="H84" s="28">
        <f t="shared" si="34"/>
        <v>0.1509823076087948</v>
      </c>
      <c r="I84" s="28">
        <f t="shared" si="34"/>
        <v>0.15098230760881362</v>
      </c>
      <c r="J84" s="28">
        <f t="shared" si="34"/>
        <v>0.13216833170519918</v>
      </c>
      <c r="K84" s="28">
        <f t="shared" si="34"/>
        <v>0.15098228879483774</v>
      </c>
      <c r="L84" s="29">
        <f t="shared" si="34"/>
        <v>0.15098230760879477</v>
      </c>
    </row>
    <row r="85" spans="2:12" x14ac:dyDescent="0.25">
      <c r="B85" s="14" t="s">
        <v>46</v>
      </c>
      <c r="C85" s="28"/>
      <c r="D85" s="28">
        <f>$C84*(1+D$84)-$C84</f>
        <v>7.7481226795180769E-3</v>
      </c>
      <c r="E85" s="28">
        <f t="shared" ref="E85:L85" si="35">$C84*(1+E$84)-$C84</f>
        <v>1.3132162928845587E-2</v>
      </c>
      <c r="F85" s="28">
        <f t="shared" si="35"/>
        <v>1.0573467589994265E-2</v>
      </c>
      <c r="G85" s="28">
        <f t="shared" si="35"/>
        <v>1.2078583103588073E-2</v>
      </c>
      <c r="H85" s="28">
        <f t="shared" si="35"/>
        <v>1.2078584608703591E-2</v>
      </c>
      <c r="I85" s="28">
        <f t="shared" si="35"/>
        <v>1.207858460870509E-2</v>
      </c>
      <c r="J85" s="28">
        <f t="shared" si="35"/>
        <v>1.0573466536415929E-2</v>
      </c>
      <c r="K85" s="28">
        <f t="shared" si="35"/>
        <v>1.2078583103587018E-2</v>
      </c>
      <c r="L85" s="29">
        <f t="shared" si="35"/>
        <v>1.2078584608703591E-2</v>
      </c>
    </row>
    <row r="86" spans="2:12" x14ac:dyDescent="0.25">
      <c r="B86" s="14" t="s">
        <v>47</v>
      </c>
      <c r="C86" s="28"/>
      <c r="D86" s="28"/>
      <c r="E86" s="28">
        <f>$D84*(1+E$84)-$D84</f>
        <v>1.5898376471892961E-2</v>
      </c>
      <c r="F86" s="28">
        <f>$D84*(1+F$84)-$D84</f>
        <v>1.2800706880497476E-2</v>
      </c>
      <c r="G86" s="28">
        <f t="shared" ref="G86:L86" si="36">$D84*(1+G$84)-$D84</f>
        <v>1.4622866200211651E-2</v>
      </c>
      <c r="H86" s="28">
        <f t="shared" si="36"/>
        <v>1.4622868022370977E-2</v>
      </c>
      <c r="I86" s="28">
        <f t="shared" si="36"/>
        <v>1.4622868022372795E-2</v>
      </c>
      <c r="J86" s="28">
        <f t="shared" si="36"/>
        <v>1.2800705604989013E-2</v>
      </c>
      <c r="K86" s="28">
        <f t="shared" si="36"/>
        <v>1.4622866200210374E-2</v>
      </c>
      <c r="L86" s="29">
        <f t="shared" si="36"/>
        <v>1.4622868022370977E-2</v>
      </c>
    </row>
    <row r="87" spans="2:12" x14ac:dyDescent="0.25">
      <c r="B87" s="14" t="s">
        <v>48</v>
      </c>
      <c r="C87" s="28"/>
      <c r="D87" s="28"/>
      <c r="E87" s="28"/>
      <c r="F87" s="28">
        <f t="shared" ref="F87:L87" si="37">$E84*(1+F$84)-$E84</f>
        <v>2.169570298666762E-2</v>
      </c>
      <c r="G87" s="28">
        <f t="shared" si="37"/>
        <v>2.4784050197799973E-2</v>
      </c>
      <c r="H87" s="28">
        <f t="shared" si="37"/>
        <v>2.478405328614719E-2</v>
      </c>
      <c r="I87" s="28">
        <f t="shared" si="37"/>
        <v>2.478405328615027E-2</v>
      </c>
      <c r="J87" s="28">
        <f t="shared" si="37"/>
        <v>2.1695700824829772E-2</v>
      </c>
      <c r="K87" s="28">
        <f t="shared" si="37"/>
        <v>2.4784050197797808E-2</v>
      </c>
      <c r="L87" s="29">
        <f t="shared" si="37"/>
        <v>2.478405328614719E-2</v>
      </c>
    </row>
    <row r="88" spans="2:12" x14ac:dyDescent="0.25">
      <c r="B88" s="14" t="s">
        <v>49</v>
      </c>
      <c r="C88" s="28"/>
      <c r="D88" s="28"/>
      <c r="E88" s="28"/>
      <c r="F88" s="28"/>
      <c r="G88" s="28">
        <f t="shared" ref="G88:L88" si="38">$F84*(1+G$84)-$F84</f>
        <v>1.9955079215443844E-2</v>
      </c>
      <c r="H88" s="28">
        <f t="shared" si="38"/>
        <v>1.995508170205168E-2</v>
      </c>
      <c r="I88" s="28">
        <f t="shared" si="38"/>
        <v>1.9955081702054178E-2</v>
      </c>
      <c r="J88" s="28">
        <f t="shared" si="38"/>
        <v>1.7468469646356649E-2</v>
      </c>
      <c r="K88" s="28">
        <f t="shared" si="38"/>
        <v>1.9955079215442123E-2</v>
      </c>
      <c r="L88" s="29">
        <f t="shared" si="38"/>
        <v>1.995508170205168E-2</v>
      </c>
    </row>
    <row r="89" spans="2:12" x14ac:dyDescent="0.25">
      <c r="B89" s="14" t="s">
        <v>50</v>
      </c>
      <c r="C89" s="28"/>
      <c r="D89" s="28"/>
      <c r="E89" s="28"/>
      <c r="F89" s="28"/>
      <c r="G89" s="28"/>
      <c r="H89" s="28">
        <f>$G84*(1+H$84)-$G84</f>
        <v>2.2795654370304064E-2</v>
      </c>
      <c r="I89" s="28">
        <f>$G84*(1+I$84)-$G84</f>
        <v>2.2795654370306923E-2</v>
      </c>
      <c r="J89" s="28">
        <f>$G84*(1+J$84)-$G84</f>
        <v>1.9955077227048035E-2</v>
      </c>
      <c r="K89" s="28">
        <f>$G84*(1+K$84)-$G84</f>
        <v>2.279565152972976E-2</v>
      </c>
      <c r="L89" s="29">
        <f>$G84*(1+L$84)-$G84</f>
        <v>2.2795654370304064E-2</v>
      </c>
    </row>
    <row r="90" spans="2:12" x14ac:dyDescent="0.25">
      <c r="B90" s="14" t="s">
        <v>51</v>
      </c>
      <c r="C90" s="28"/>
      <c r="D90" s="28"/>
      <c r="E90" s="28"/>
      <c r="F90" s="28"/>
      <c r="G90" s="28"/>
      <c r="H90" s="28"/>
      <c r="I90" s="28">
        <f>$H84*(1+I$84)-$H84</f>
        <v>2.2795657210879589E-2</v>
      </c>
      <c r="J90" s="28">
        <f>$H84*(1+J$84)-$H84</f>
        <v>1.9955079713655594E-2</v>
      </c>
      <c r="K90" s="28">
        <f>$H84*(1+K$84)-$H84</f>
        <v>2.2795654370302093E-2</v>
      </c>
      <c r="L90" s="29">
        <f>$H84*(1+L$84)-$H84</f>
        <v>2.279565721087673E-2</v>
      </c>
    </row>
    <row r="91" spans="2:12" x14ac:dyDescent="0.25">
      <c r="B91" s="14" t="s">
        <v>52</v>
      </c>
      <c r="C91" s="28"/>
      <c r="D91" s="28"/>
      <c r="E91" s="28"/>
      <c r="F91" s="28"/>
      <c r="G91" s="28"/>
      <c r="H91" s="28"/>
      <c r="I91" s="28"/>
      <c r="J91" s="28">
        <f>$I84*(1+J$84)-$I84</f>
        <v>1.9955079713658092E-2</v>
      </c>
      <c r="K91" s="28">
        <f>$I84*(1+K$84)-$I84</f>
        <v>2.2795654370304924E-2</v>
      </c>
      <c r="L91" s="29">
        <f>$I84*(1+L$84)-$I84</f>
        <v>2.2795657210879589E-2</v>
      </c>
    </row>
    <row r="92" spans="2:12" x14ac:dyDescent="0.25">
      <c r="B92" s="14" t="s">
        <v>53</v>
      </c>
      <c r="C92" s="28"/>
      <c r="D92" s="28"/>
      <c r="E92" s="28"/>
      <c r="F92" s="28"/>
      <c r="G92" s="28"/>
      <c r="H92" s="28"/>
      <c r="I92" s="28"/>
      <c r="J92" s="28"/>
      <c r="K92" s="28">
        <f>$J84*(1+K$84)-$J84</f>
        <v>1.9955077227046286E-2</v>
      </c>
      <c r="L92" s="29">
        <f>$J84*(1+L$84)-$J84</f>
        <v>1.9955079713655621E-2</v>
      </c>
    </row>
    <row r="93" spans="2:12" x14ac:dyDescent="0.25">
      <c r="B93" s="31" t="s">
        <v>54</v>
      </c>
      <c r="C93" s="40"/>
      <c r="D93" s="40"/>
      <c r="E93" s="40"/>
      <c r="F93" s="40"/>
      <c r="G93" s="40"/>
      <c r="H93" s="40"/>
      <c r="I93" s="40"/>
      <c r="J93" s="40"/>
      <c r="K93" s="40"/>
      <c r="L93" s="49">
        <f>$K84*(1+L$84)-$K84</f>
        <v>2.2795654370302093E-2</v>
      </c>
    </row>
    <row r="94" spans="2:12" x14ac:dyDescent="0.25">
      <c r="B94" s="14" t="s">
        <v>55</v>
      </c>
      <c r="C94" s="50">
        <f t="shared" ref="C94:L94" si="39">SUM(C84:C93)</f>
        <v>0.08</v>
      </c>
      <c r="D94" s="50">
        <f t="shared" si="39"/>
        <v>0.10459965617349402</v>
      </c>
      <c r="E94" s="50">
        <f t="shared" si="39"/>
        <v>0.1931825760113082</v>
      </c>
      <c r="F94" s="50">
        <f t="shared" si="39"/>
        <v>0.1772382223320875</v>
      </c>
      <c r="G94" s="50">
        <f t="shared" si="39"/>
        <v>0.22242286751189438</v>
      </c>
      <c r="H94" s="50">
        <f t="shared" si="39"/>
        <v>0.2452185495983723</v>
      </c>
      <c r="I94" s="50">
        <f t="shared" si="39"/>
        <v>0.26801420680928245</v>
      </c>
      <c r="J94" s="50">
        <f t="shared" si="39"/>
        <v>0.25457191097215226</v>
      </c>
      <c r="K94" s="50">
        <f t="shared" si="39"/>
        <v>0.31076490500925813</v>
      </c>
      <c r="L94" s="51">
        <f t="shared" si="39"/>
        <v>0.33356059810408634</v>
      </c>
    </row>
    <row r="95" spans="2:12" x14ac:dyDescent="0.25">
      <c r="B95" s="31" t="s">
        <v>56</v>
      </c>
      <c r="C95" s="32"/>
      <c r="D95" s="52">
        <f>+D94+C94</f>
        <v>0.18459965617349403</v>
      </c>
      <c r="E95" s="52">
        <f>+E94+D95</f>
        <v>0.37778223218480222</v>
      </c>
      <c r="F95" s="52">
        <f t="shared" ref="F95:L95" si="40">+F94+E95</f>
        <v>0.55502045451688975</v>
      </c>
      <c r="G95" s="52">
        <f t="shared" si="40"/>
        <v>0.77744332202878419</v>
      </c>
      <c r="H95" s="52">
        <f t="shared" si="40"/>
        <v>1.0226618716271565</v>
      </c>
      <c r="I95" s="52">
        <f t="shared" si="40"/>
        <v>1.2906760784364391</v>
      </c>
      <c r="J95" s="52">
        <f t="shared" si="40"/>
        <v>1.5452479894085913</v>
      </c>
      <c r="K95" s="52">
        <f t="shared" si="40"/>
        <v>1.8560128944178493</v>
      </c>
      <c r="L95" s="53">
        <f t="shared" si="40"/>
        <v>2.1895734925219354</v>
      </c>
    </row>
  </sheetData>
  <mergeCells count="2">
    <mergeCell ref="C20:L20"/>
    <mergeCell ref="C34:L34"/>
  </mergeCells>
  <pageMargins left="0.25" right="0.25" top="0.75" bottom="0.75" header="0.3" footer="0.3"/>
  <pageSetup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9B7E-3000-48A3-9A39-6C4AAAECBBE0}">
  <sheetPr>
    <pageSetUpPr fitToPage="1"/>
  </sheetPr>
  <dimension ref="B2:N76"/>
  <sheetViews>
    <sheetView workbookViewId="0">
      <selection activeCell="G96" sqref="G96"/>
    </sheetView>
  </sheetViews>
  <sheetFormatPr defaultRowHeight="15" x14ac:dyDescent="0.25"/>
  <cols>
    <col min="2" max="2" width="55.7109375" customWidth="1"/>
    <col min="3" max="13" width="15.7109375" customWidth="1"/>
  </cols>
  <sheetData>
    <row r="2" spans="2:13" ht="18.75" x14ac:dyDescent="0.3">
      <c r="B2" s="65" t="s">
        <v>76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2:13" ht="15.75" x14ac:dyDescent="0.25">
      <c r="B3" s="12" t="s">
        <v>36</v>
      </c>
      <c r="M3" s="13"/>
    </row>
    <row r="4" spans="2:13" ht="15.75" x14ac:dyDescent="0.25">
      <c r="B4" s="12"/>
      <c r="M4" s="13"/>
    </row>
    <row r="5" spans="2:13" ht="15.75" x14ac:dyDescent="0.25">
      <c r="B5" s="12" t="s">
        <v>67</v>
      </c>
      <c r="C5" t="s">
        <v>68</v>
      </c>
      <c r="M5" s="13"/>
    </row>
    <row r="6" spans="2:13" ht="15.75" x14ac:dyDescent="0.25">
      <c r="B6" s="12"/>
      <c r="C6" t="s">
        <v>69</v>
      </c>
      <c r="M6" s="13"/>
    </row>
    <row r="7" spans="2:13" ht="15.75" x14ac:dyDescent="0.25">
      <c r="B7" s="12"/>
      <c r="C7" t="s">
        <v>71</v>
      </c>
      <c r="M7" s="13"/>
    </row>
    <row r="8" spans="2:13" x14ac:dyDescent="0.25">
      <c r="B8" s="14"/>
      <c r="M8" s="13"/>
    </row>
    <row r="9" spans="2:13" ht="18.75" x14ac:dyDescent="0.3">
      <c r="B9" s="100" t="s">
        <v>2</v>
      </c>
      <c r="M9" s="13"/>
    </row>
    <row r="10" spans="2:13" ht="30.75" x14ac:dyDescent="0.3">
      <c r="B10" s="100"/>
      <c r="D10" s="2" t="s">
        <v>6</v>
      </c>
      <c r="E10" s="2" t="s">
        <v>7</v>
      </c>
      <c r="F10" s="95" t="s">
        <v>87</v>
      </c>
      <c r="H10" s="54" t="s">
        <v>64</v>
      </c>
      <c r="I10" s="55"/>
      <c r="J10" s="55"/>
      <c r="K10" s="55"/>
      <c r="L10" s="56"/>
      <c r="M10" s="13"/>
    </row>
    <row r="11" spans="2:13" x14ac:dyDescent="0.25">
      <c r="B11" s="14" t="s">
        <v>89</v>
      </c>
      <c r="C11">
        <v>166</v>
      </c>
      <c r="E11" s="101"/>
      <c r="F11" s="96"/>
      <c r="H11" s="57" t="s">
        <v>62</v>
      </c>
      <c r="I11" s="72" t="s">
        <v>63</v>
      </c>
      <c r="J11" s="73"/>
      <c r="K11" s="73"/>
      <c r="L11" s="58"/>
      <c r="M11" s="13"/>
    </row>
    <row r="12" spans="2:13" x14ac:dyDescent="0.25">
      <c r="B12" s="66" t="s">
        <v>24</v>
      </c>
      <c r="D12" s="4">
        <v>16.2</v>
      </c>
      <c r="E12" s="101"/>
      <c r="F12" s="96"/>
      <c r="H12" s="59">
        <v>4.8</v>
      </c>
      <c r="I12" s="60">
        <v>28.2</v>
      </c>
      <c r="J12" s="73"/>
      <c r="K12" s="73"/>
      <c r="L12" s="58"/>
      <c r="M12" s="13"/>
    </row>
    <row r="13" spans="2:13" x14ac:dyDescent="0.25">
      <c r="B13" s="66" t="s">
        <v>12</v>
      </c>
      <c r="D13" s="4">
        <v>50</v>
      </c>
      <c r="E13" s="101"/>
      <c r="F13" s="96"/>
      <c r="H13" s="59">
        <v>4.5</v>
      </c>
      <c r="I13" s="60">
        <v>22.3</v>
      </c>
      <c r="J13" s="73"/>
      <c r="K13" s="73"/>
      <c r="L13" s="58"/>
      <c r="M13" s="13"/>
    </row>
    <row r="14" spans="2:13" x14ac:dyDescent="0.25">
      <c r="B14" s="14" t="s">
        <v>5</v>
      </c>
      <c r="D14" s="94"/>
      <c r="E14" s="101">
        <v>1.3</v>
      </c>
      <c r="F14" s="96"/>
      <c r="H14" s="59">
        <v>4.3</v>
      </c>
      <c r="I14" s="60">
        <v>18.2</v>
      </c>
      <c r="J14" s="73"/>
      <c r="K14" s="73"/>
      <c r="L14" s="58"/>
      <c r="M14" s="13"/>
    </row>
    <row r="15" spans="2:13" x14ac:dyDescent="0.25">
      <c r="B15" s="14" t="s">
        <v>88</v>
      </c>
      <c r="E15" s="101">
        <v>1.5</v>
      </c>
      <c r="F15" s="96"/>
      <c r="H15" s="59">
        <v>4.0999999999999996</v>
      </c>
      <c r="I15" s="60">
        <v>14.2</v>
      </c>
      <c r="J15" s="73"/>
      <c r="K15" s="73"/>
      <c r="L15" s="58"/>
      <c r="M15" s="13"/>
    </row>
    <row r="16" spans="2:13" x14ac:dyDescent="0.25">
      <c r="B16" s="14" t="s">
        <v>77</v>
      </c>
      <c r="D16" s="101">
        <v>4.5</v>
      </c>
      <c r="E16" s="74">
        <f>+D16*E14</f>
        <v>5.8500000000000005</v>
      </c>
      <c r="H16" s="59">
        <v>3.9</v>
      </c>
      <c r="I16" s="60">
        <v>10</v>
      </c>
      <c r="J16" s="73"/>
      <c r="K16" s="73"/>
      <c r="L16" s="58"/>
      <c r="M16" s="13"/>
    </row>
    <row r="17" spans="2:13" x14ac:dyDescent="0.25">
      <c r="B17" s="14" t="s">
        <v>19</v>
      </c>
      <c r="D17" s="102">
        <v>22.3</v>
      </c>
      <c r="H17" s="59"/>
      <c r="I17" s="60"/>
      <c r="J17" s="73"/>
      <c r="K17" s="73"/>
      <c r="L17" s="58"/>
      <c r="M17" s="13"/>
    </row>
    <row r="18" spans="2:13" x14ac:dyDescent="0.25">
      <c r="B18" s="14" t="s">
        <v>96</v>
      </c>
      <c r="C18" s="103">
        <v>1</v>
      </c>
      <c r="D18" s="102"/>
      <c r="H18" s="61" t="s">
        <v>65</v>
      </c>
      <c r="I18" s="73"/>
      <c r="J18" s="73"/>
      <c r="K18" s="73"/>
      <c r="L18" s="58"/>
      <c r="M18" s="13"/>
    </row>
    <row r="19" spans="2:13" x14ac:dyDescent="0.25">
      <c r="B19" s="14" t="s">
        <v>91</v>
      </c>
      <c r="D19" s="104">
        <v>30</v>
      </c>
      <c r="E19" s="4">
        <f>+D19*E14</f>
        <v>39</v>
      </c>
      <c r="F19" s="108">
        <f>+E19/E15</f>
        <v>26</v>
      </c>
      <c r="H19" s="62" t="s">
        <v>66</v>
      </c>
      <c r="I19" s="63"/>
      <c r="J19" s="63"/>
      <c r="K19" s="63"/>
      <c r="L19" s="64"/>
      <c r="M19" s="13"/>
    </row>
    <row r="20" spans="2:13" x14ac:dyDescent="0.25">
      <c r="B20" s="14" t="s">
        <v>92</v>
      </c>
      <c r="D20" s="104">
        <v>75</v>
      </c>
      <c r="E20" s="4">
        <f>+D20*E14</f>
        <v>97.5</v>
      </c>
      <c r="F20" s="109">
        <f>+E20/E15</f>
        <v>65</v>
      </c>
      <c r="M20" s="13"/>
    </row>
    <row r="21" spans="2:13" x14ac:dyDescent="0.25">
      <c r="B21" s="14" t="s">
        <v>95</v>
      </c>
      <c r="D21" s="104">
        <v>25</v>
      </c>
      <c r="F21" s="109"/>
      <c r="M21" s="13"/>
    </row>
    <row r="22" spans="2:13" x14ac:dyDescent="0.25">
      <c r="B22" s="14" t="s">
        <v>78</v>
      </c>
      <c r="C22" s="103">
        <v>30000</v>
      </c>
      <c r="F22" s="109"/>
      <c r="H22" s="110"/>
      <c r="M22" s="13"/>
    </row>
    <row r="23" spans="2:13" x14ac:dyDescent="0.25">
      <c r="B23" s="14" t="s">
        <v>93</v>
      </c>
      <c r="D23" s="105">
        <f>+D21*C22/1000</f>
        <v>750</v>
      </c>
      <c r="E23" s="105">
        <f>+D23*E14</f>
        <v>975</v>
      </c>
      <c r="F23" s="109"/>
      <c r="M23" s="13"/>
    </row>
    <row r="24" spans="2:13" x14ac:dyDescent="0.25">
      <c r="B24" s="14" t="s">
        <v>79</v>
      </c>
      <c r="C24" s="106">
        <v>0.33</v>
      </c>
      <c r="F24" s="109">
        <f>+E23*C24/E15</f>
        <v>214.5</v>
      </c>
      <c r="M24" s="13"/>
    </row>
    <row r="25" spans="2:13" x14ac:dyDescent="0.25">
      <c r="B25" s="14" t="s">
        <v>3</v>
      </c>
      <c r="C25" s="106">
        <v>0.06</v>
      </c>
      <c r="M25" s="13"/>
    </row>
    <row r="26" spans="2:13" x14ac:dyDescent="0.25">
      <c r="B26" s="14" t="s">
        <v>94</v>
      </c>
      <c r="C26" s="106">
        <v>0.08</v>
      </c>
      <c r="M26" s="13"/>
    </row>
    <row r="27" spans="2:13" x14ac:dyDescent="0.25">
      <c r="B27" s="14" t="s">
        <v>90</v>
      </c>
      <c r="C27">
        <v>10</v>
      </c>
      <c r="M27" s="13"/>
    </row>
    <row r="28" spans="2:13" x14ac:dyDescent="0.25">
      <c r="B28" s="14"/>
      <c r="M28" s="13"/>
    </row>
    <row r="29" spans="2:13" x14ac:dyDescent="0.25">
      <c r="B29" s="14"/>
      <c r="C29" s="118" t="s">
        <v>0</v>
      </c>
      <c r="D29" s="118"/>
      <c r="E29" s="118"/>
      <c r="F29" s="118"/>
      <c r="G29" s="118"/>
      <c r="H29" s="118"/>
      <c r="I29" s="118"/>
      <c r="J29" s="118"/>
      <c r="K29" s="118"/>
      <c r="L29" s="118"/>
      <c r="M29" s="13"/>
    </row>
    <row r="30" spans="2:13" x14ac:dyDescent="0.25">
      <c r="B30" s="14"/>
      <c r="C30" s="2">
        <v>1</v>
      </c>
      <c r="D30" s="2">
        <v>2</v>
      </c>
      <c r="E30" s="2">
        <v>3</v>
      </c>
      <c r="F30" s="2">
        <v>4</v>
      </c>
      <c r="G30" s="2">
        <v>5</v>
      </c>
      <c r="H30" s="2">
        <v>6</v>
      </c>
      <c r="I30" s="2">
        <v>7</v>
      </c>
      <c r="J30" s="2">
        <v>8</v>
      </c>
      <c r="K30" s="2">
        <v>9</v>
      </c>
      <c r="L30" s="2">
        <v>10</v>
      </c>
      <c r="M30" s="13"/>
    </row>
    <row r="31" spans="2:13" ht="23.25" x14ac:dyDescent="0.25">
      <c r="B31" s="14" t="s">
        <v>97</v>
      </c>
      <c r="C31" s="97" t="s">
        <v>80</v>
      </c>
      <c r="D31" s="97" t="s">
        <v>81</v>
      </c>
      <c r="E31" s="97" t="s">
        <v>82</v>
      </c>
      <c r="F31" s="97" t="s">
        <v>83</v>
      </c>
      <c r="G31" s="97" t="s">
        <v>84</v>
      </c>
      <c r="H31" s="97" t="s">
        <v>85</v>
      </c>
      <c r="I31" s="97" t="s">
        <v>101</v>
      </c>
      <c r="J31" s="120" t="s">
        <v>86</v>
      </c>
      <c r="K31" s="120"/>
      <c r="L31" s="120"/>
      <c r="M31" s="111"/>
    </row>
    <row r="32" spans="2:13" x14ac:dyDescent="0.25">
      <c r="B32" s="1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13"/>
    </row>
    <row r="33" spans="2:13" x14ac:dyDescent="0.25">
      <c r="B33" s="14" t="s">
        <v>18</v>
      </c>
      <c r="C33" s="16"/>
      <c r="D33" s="74"/>
      <c r="M33" s="13"/>
    </row>
    <row r="34" spans="2:13" x14ac:dyDescent="0.25">
      <c r="B34" s="14" t="s">
        <v>13</v>
      </c>
      <c r="C34" s="4">
        <v>21.3</v>
      </c>
      <c r="D34" s="1">
        <f>C38</f>
        <v>11.5</v>
      </c>
      <c r="E34" s="1">
        <f t="shared" ref="E34:G34" si="0">D38</f>
        <v>3.5</v>
      </c>
      <c r="F34" s="1">
        <f t="shared" si="0"/>
        <v>0</v>
      </c>
      <c r="G34" s="1">
        <f t="shared" si="0"/>
        <v>0</v>
      </c>
      <c r="H34" s="1">
        <f t="shared" ref="H34" si="1">G38</f>
        <v>502.49999999999994</v>
      </c>
      <c r="I34" s="1">
        <f t="shared" ref="I34" si="2">H38</f>
        <v>502.49999999999994</v>
      </c>
      <c r="J34" s="1">
        <f t="shared" ref="J34" si="3">I38</f>
        <v>502.49999999999994</v>
      </c>
      <c r="K34" s="1">
        <f t="shared" ref="K34" si="4">J38</f>
        <v>452.24999999999994</v>
      </c>
      <c r="L34" s="1">
        <f t="shared" ref="L34" si="5">K38</f>
        <v>401.99999999999994</v>
      </c>
      <c r="M34" s="13"/>
    </row>
    <row r="35" spans="2:13" x14ac:dyDescent="0.25">
      <c r="B35" s="66" t="s">
        <v>14</v>
      </c>
      <c r="C35" s="15">
        <v>-9.8000000000000007</v>
      </c>
      <c r="D35" s="107">
        <f>-8</f>
        <v>-8</v>
      </c>
      <c r="E35" s="107">
        <v>-3.5</v>
      </c>
      <c r="F35" s="107"/>
      <c r="G35" s="107"/>
      <c r="H35" s="107">
        <v>0</v>
      </c>
      <c r="I35" s="107">
        <v>0</v>
      </c>
      <c r="M35" s="13"/>
    </row>
    <row r="36" spans="2:13" x14ac:dyDescent="0.25">
      <c r="B36" s="14" t="s">
        <v>99</v>
      </c>
      <c r="C36" s="99"/>
      <c r="D36" s="1"/>
      <c r="E36" s="1"/>
      <c r="F36" s="1"/>
      <c r="G36" s="1">
        <f>D23*(1-C24)</f>
        <v>502.49999999999994</v>
      </c>
      <c r="H36" s="1"/>
      <c r="I36" s="1"/>
      <c r="J36" s="1"/>
      <c r="K36" s="1"/>
      <c r="L36" s="1"/>
      <c r="M36" s="13"/>
    </row>
    <row r="37" spans="2:13" x14ac:dyDescent="0.25">
      <c r="B37" s="14" t="s">
        <v>100</v>
      </c>
      <c r="C37" s="32"/>
      <c r="D37" s="32"/>
      <c r="E37" s="32"/>
      <c r="F37" s="32"/>
      <c r="G37" s="32"/>
      <c r="H37" s="68">
        <v>0</v>
      </c>
      <c r="I37" s="68">
        <v>0</v>
      </c>
      <c r="J37" s="68">
        <f>-$G$36/$C$27</f>
        <v>-50.249999999999993</v>
      </c>
      <c r="K37" s="68">
        <f t="shared" ref="K37:L37" si="6">-$G$36/$C$27</f>
        <v>-50.249999999999993</v>
      </c>
      <c r="L37" s="68">
        <f t="shared" si="6"/>
        <v>-50.249999999999993</v>
      </c>
      <c r="M37" s="13"/>
    </row>
    <row r="38" spans="2:13" x14ac:dyDescent="0.25">
      <c r="B38" s="14" t="s">
        <v>15</v>
      </c>
      <c r="C38" s="4">
        <f>SUM(C34:C37)</f>
        <v>11.5</v>
      </c>
      <c r="D38" s="4">
        <f t="shared" ref="D38:L38" si="7">SUM(D34:D37)</f>
        <v>3.5</v>
      </c>
      <c r="E38" s="4">
        <f t="shared" si="7"/>
        <v>0</v>
      </c>
      <c r="F38" s="4">
        <f t="shared" si="7"/>
        <v>0</v>
      </c>
      <c r="G38" s="4">
        <f t="shared" si="7"/>
        <v>502.49999999999994</v>
      </c>
      <c r="H38" s="4">
        <f t="shared" si="7"/>
        <v>502.49999999999994</v>
      </c>
      <c r="I38" s="4">
        <f t="shared" si="7"/>
        <v>502.49999999999994</v>
      </c>
      <c r="J38" s="4">
        <f t="shared" si="7"/>
        <v>452.24999999999994</v>
      </c>
      <c r="K38" s="4">
        <f t="shared" si="7"/>
        <v>401.99999999999994</v>
      </c>
      <c r="L38" s="4">
        <f t="shared" si="7"/>
        <v>351.74999999999994</v>
      </c>
      <c r="M38" s="13"/>
    </row>
    <row r="39" spans="2:13" x14ac:dyDescent="0.25">
      <c r="B39" s="14"/>
      <c r="C39" s="4"/>
      <c r="D39" s="4"/>
      <c r="E39" s="4"/>
      <c r="F39" s="4"/>
      <c r="G39" s="4"/>
      <c r="H39" s="4"/>
      <c r="I39" s="4"/>
      <c r="J39" s="4"/>
      <c r="K39" s="4"/>
      <c r="L39" s="4"/>
      <c r="M39" s="13"/>
    </row>
    <row r="40" spans="2:13" x14ac:dyDescent="0.25">
      <c r="B40" s="14"/>
      <c r="M40" s="13"/>
    </row>
    <row r="41" spans="2:13" x14ac:dyDescent="0.25">
      <c r="B41" s="14" t="s">
        <v>75</v>
      </c>
      <c r="C41" s="4"/>
      <c r="D41" s="4"/>
      <c r="E41" s="4"/>
      <c r="F41" s="4"/>
      <c r="G41" s="4"/>
      <c r="H41" s="4"/>
      <c r="I41" s="4"/>
      <c r="J41" s="4"/>
      <c r="K41" s="4"/>
      <c r="L41" s="19"/>
      <c r="M41" s="13"/>
    </row>
    <row r="42" spans="2:13" x14ac:dyDescent="0.25">
      <c r="B42" s="14" t="s">
        <v>42</v>
      </c>
      <c r="C42" s="4">
        <f t="shared" ref="C42:L42" si="8">9.8+C35</f>
        <v>0</v>
      </c>
      <c r="D42" s="4">
        <f t="shared" si="8"/>
        <v>1.8000000000000007</v>
      </c>
      <c r="E42" s="4">
        <f t="shared" si="8"/>
        <v>6.3000000000000007</v>
      </c>
      <c r="F42" s="4">
        <f t="shared" si="8"/>
        <v>9.8000000000000007</v>
      </c>
      <c r="G42" s="4">
        <f t="shared" si="8"/>
        <v>9.8000000000000007</v>
      </c>
      <c r="H42" s="4">
        <f t="shared" si="8"/>
        <v>9.8000000000000007</v>
      </c>
      <c r="I42" s="4">
        <f t="shared" si="8"/>
        <v>9.8000000000000007</v>
      </c>
      <c r="J42" s="4">
        <f t="shared" si="8"/>
        <v>9.8000000000000007</v>
      </c>
      <c r="K42" s="4">
        <f t="shared" si="8"/>
        <v>9.8000000000000007</v>
      </c>
      <c r="L42" s="4">
        <f t="shared" si="8"/>
        <v>9.8000000000000007</v>
      </c>
      <c r="M42" s="18">
        <f>SUM(C42:L42)</f>
        <v>76.699999999999989</v>
      </c>
    </row>
    <row r="43" spans="2:13" x14ac:dyDescent="0.25">
      <c r="B43" s="14" t="s">
        <v>43</v>
      </c>
      <c r="C43" s="4">
        <v>0</v>
      </c>
      <c r="D43" s="4">
        <v>0</v>
      </c>
      <c r="E43" s="4">
        <v>6.3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19">
        <v>0</v>
      </c>
      <c r="M43" s="13"/>
    </row>
    <row r="44" spans="2:13" x14ac:dyDescent="0.25">
      <c r="B44" s="14" t="s">
        <v>70</v>
      </c>
      <c r="C44" s="4">
        <v>0</v>
      </c>
      <c r="D44" s="4">
        <v>0</v>
      </c>
      <c r="E44" s="4"/>
      <c r="F44" s="4">
        <v>-4</v>
      </c>
      <c r="G44" s="4">
        <v>0</v>
      </c>
      <c r="H44" s="4">
        <v>0</v>
      </c>
      <c r="I44" s="4">
        <v>0</v>
      </c>
      <c r="J44" s="4">
        <v>-4</v>
      </c>
      <c r="K44" s="4">
        <v>0</v>
      </c>
      <c r="L44" s="4">
        <v>0</v>
      </c>
      <c r="M44" s="13"/>
    </row>
    <row r="45" spans="2:13" x14ac:dyDescent="0.25">
      <c r="B45" s="14" t="s">
        <v>103</v>
      </c>
      <c r="C45" s="4"/>
      <c r="D45" s="4"/>
      <c r="E45" s="4"/>
      <c r="F45" s="4"/>
      <c r="G45" s="4">
        <f>-G38*$C$26</f>
        <v>-40.199999999999996</v>
      </c>
      <c r="H45" s="4">
        <f t="shared" ref="H45:L45" si="9">-H38*$C$26</f>
        <v>-40.199999999999996</v>
      </c>
      <c r="I45" s="4">
        <f t="shared" si="9"/>
        <v>-40.199999999999996</v>
      </c>
      <c r="J45" s="4">
        <f t="shared" si="9"/>
        <v>-36.18</v>
      </c>
      <c r="K45" s="4">
        <f t="shared" si="9"/>
        <v>-32.159999999999997</v>
      </c>
      <c r="L45" s="4">
        <f t="shared" si="9"/>
        <v>-28.139999999999997</v>
      </c>
      <c r="M45" s="13"/>
    </row>
    <row r="46" spans="2:13" x14ac:dyDescent="0.25">
      <c r="B46" s="14" t="s">
        <v>100</v>
      </c>
      <c r="C46" s="4">
        <f>C37</f>
        <v>0</v>
      </c>
      <c r="D46" s="4">
        <f t="shared" ref="D46:L46" si="10">D37</f>
        <v>0</v>
      </c>
      <c r="E46" s="4">
        <f t="shared" si="10"/>
        <v>0</v>
      </c>
      <c r="F46" s="4">
        <f t="shared" si="10"/>
        <v>0</v>
      </c>
      <c r="G46" s="4">
        <f t="shared" si="10"/>
        <v>0</v>
      </c>
      <c r="H46" s="4">
        <f t="shared" si="10"/>
        <v>0</v>
      </c>
      <c r="I46" s="4">
        <f t="shared" si="10"/>
        <v>0</v>
      </c>
      <c r="J46" s="4">
        <f t="shared" si="10"/>
        <v>-50.249999999999993</v>
      </c>
      <c r="K46" s="4">
        <f t="shared" si="10"/>
        <v>-50.249999999999993</v>
      </c>
      <c r="L46" s="4">
        <f t="shared" si="10"/>
        <v>-50.249999999999993</v>
      </c>
      <c r="M46" s="13"/>
    </row>
    <row r="47" spans="2:13" x14ac:dyDescent="0.25">
      <c r="B47" s="66" t="s">
        <v>102</v>
      </c>
      <c r="C47" s="67">
        <v>0</v>
      </c>
      <c r="D47" s="67">
        <v>0</v>
      </c>
      <c r="E47" s="67">
        <v>0</v>
      </c>
      <c r="F47" s="67">
        <v>0</v>
      </c>
      <c r="G47" s="67">
        <v>0</v>
      </c>
      <c r="H47" s="67">
        <v>0</v>
      </c>
      <c r="I47" s="67">
        <f>$D$17*$C$18*0.5</f>
        <v>11.15</v>
      </c>
      <c r="J47" s="67">
        <f t="shared" ref="J47:L47" si="11">$D$17*$C$18</f>
        <v>22.3</v>
      </c>
      <c r="K47" s="67">
        <f t="shared" si="11"/>
        <v>22.3</v>
      </c>
      <c r="L47" s="67">
        <f t="shared" si="11"/>
        <v>22.3</v>
      </c>
      <c r="M47" s="13"/>
    </row>
    <row r="48" spans="2:13" x14ac:dyDescent="0.25">
      <c r="B48" s="14"/>
      <c r="C48" s="16">
        <f>SUM(C42:C47)</f>
        <v>0</v>
      </c>
      <c r="D48" s="16">
        <f t="shared" ref="D48:L48" si="12">SUM(D42:D47)</f>
        <v>1.8000000000000007</v>
      </c>
      <c r="E48" s="16">
        <f t="shared" si="12"/>
        <v>12.600000000000001</v>
      </c>
      <c r="F48" s="16">
        <f t="shared" si="12"/>
        <v>5.8000000000000007</v>
      </c>
      <c r="G48" s="16">
        <f t="shared" si="12"/>
        <v>-30.399999999999995</v>
      </c>
      <c r="H48" s="16">
        <f t="shared" si="12"/>
        <v>-30.399999999999995</v>
      </c>
      <c r="I48" s="16">
        <f t="shared" si="12"/>
        <v>-19.249999999999993</v>
      </c>
      <c r="J48" s="16">
        <f t="shared" si="12"/>
        <v>-58.33</v>
      </c>
      <c r="K48" s="16">
        <f t="shared" si="12"/>
        <v>-50.309999999999988</v>
      </c>
      <c r="L48" s="16">
        <f t="shared" si="12"/>
        <v>-46.289999999999992</v>
      </c>
      <c r="M48" s="13"/>
    </row>
    <row r="49" spans="2:14" x14ac:dyDescent="0.25">
      <c r="B49" s="14"/>
      <c r="M49" s="13"/>
    </row>
    <row r="50" spans="2:14" x14ac:dyDescent="0.25">
      <c r="B50" s="14"/>
      <c r="M50" s="13"/>
    </row>
    <row r="51" spans="2:14" ht="18.75" x14ac:dyDescent="0.3">
      <c r="B51" s="37" t="s">
        <v>44</v>
      </c>
      <c r="M51" s="13"/>
    </row>
    <row r="52" spans="2:14" x14ac:dyDescent="0.25">
      <c r="B52" s="14"/>
      <c r="C52" s="118" t="s">
        <v>0</v>
      </c>
      <c r="D52" s="118"/>
      <c r="E52" s="118"/>
      <c r="F52" s="118"/>
      <c r="G52" s="118"/>
      <c r="H52" s="118"/>
      <c r="I52" s="118"/>
      <c r="J52" s="118"/>
      <c r="K52" s="118"/>
      <c r="L52" s="118"/>
      <c r="M52" s="13"/>
    </row>
    <row r="53" spans="2:14" x14ac:dyDescent="0.25">
      <c r="B53" s="14"/>
      <c r="C53" s="2">
        <v>1</v>
      </c>
      <c r="D53" s="2">
        <v>2</v>
      </c>
      <c r="E53" s="2">
        <v>3</v>
      </c>
      <c r="F53" s="2">
        <v>4</v>
      </c>
      <c r="G53" s="2">
        <v>5</v>
      </c>
      <c r="H53" s="2">
        <v>6</v>
      </c>
      <c r="I53" s="2">
        <v>7</v>
      </c>
      <c r="J53" s="2">
        <v>8</v>
      </c>
      <c r="K53" s="2">
        <v>9</v>
      </c>
      <c r="L53" s="2">
        <v>10</v>
      </c>
      <c r="M53" s="17">
        <v>11</v>
      </c>
    </row>
    <row r="54" spans="2:14" x14ac:dyDescent="0.25">
      <c r="B54" s="14"/>
      <c r="C54" s="97"/>
      <c r="D54" s="97"/>
      <c r="E54" s="97"/>
      <c r="F54" s="97"/>
      <c r="G54" s="97"/>
      <c r="H54" s="97"/>
      <c r="I54" s="97"/>
      <c r="J54" s="97"/>
      <c r="K54" s="98"/>
      <c r="L54" s="98"/>
      <c r="M54" s="112"/>
    </row>
    <row r="55" spans="2:14" x14ac:dyDescent="0.25">
      <c r="B55" s="14" t="s">
        <v>10</v>
      </c>
      <c r="C55" s="113">
        <f>+C11+F19</f>
        <v>192</v>
      </c>
      <c r="D55" s="113">
        <f>+C55+D64</f>
        <v>192</v>
      </c>
      <c r="E55" s="113">
        <f>+D55+E64+F20</f>
        <v>257</v>
      </c>
      <c r="F55" s="113">
        <f>+E55+F64</f>
        <v>257</v>
      </c>
      <c r="G55" s="113">
        <f>+F55+G64+F24</f>
        <v>471.5</v>
      </c>
      <c r="H55" s="113">
        <f t="shared" ref="H55:M55" si="13">+G55+H64</f>
        <v>471.5</v>
      </c>
      <c r="I55" s="113">
        <f t="shared" si="13"/>
        <v>471.5</v>
      </c>
      <c r="J55" s="113">
        <f t="shared" si="13"/>
        <v>471.5</v>
      </c>
      <c r="K55" s="113">
        <f t="shared" si="13"/>
        <v>492.29133333333334</v>
      </c>
      <c r="L55" s="113">
        <f t="shared" si="13"/>
        <v>513.08266666666668</v>
      </c>
      <c r="M55" s="114">
        <f t="shared" si="13"/>
        <v>513.08266666666668</v>
      </c>
    </row>
    <row r="56" spans="2:14" x14ac:dyDescent="0.25">
      <c r="B56" s="14"/>
      <c r="C56" s="113"/>
      <c r="D56" s="113"/>
      <c r="E56" s="113"/>
      <c r="F56" s="113"/>
      <c r="G56" s="113"/>
      <c r="H56" s="113"/>
      <c r="I56" s="113"/>
      <c r="J56" s="115"/>
      <c r="K56" s="115"/>
      <c r="L56" s="115"/>
      <c r="M56" s="116"/>
    </row>
    <row r="57" spans="2:14" x14ac:dyDescent="0.25">
      <c r="B57" s="14" t="s">
        <v>20</v>
      </c>
      <c r="C57" s="1">
        <f t="shared" ref="C57:L57" si="14">+$D$17+C48</f>
        <v>22.3</v>
      </c>
      <c r="D57" s="1">
        <f t="shared" si="14"/>
        <v>24.1</v>
      </c>
      <c r="E57" s="1">
        <f t="shared" si="14"/>
        <v>34.900000000000006</v>
      </c>
      <c r="F57" s="1">
        <f t="shared" si="14"/>
        <v>28.1</v>
      </c>
      <c r="G57" s="1">
        <f t="shared" si="14"/>
        <v>-8.0999999999999943</v>
      </c>
      <c r="H57" s="1">
        <f t="shared" si="14"/>
        <v>-8.0999999999999943</v>
      </c>
      <c r="I57" s="1">
        <f t="shared" si="14"/>
        <v>3.0500000000000078</v>
      </c>
      <c r="J57" s="1">
        <f t="shared" si="14"/>
        <v>-36.03</v>
      </c>
      <c r="K57" s="1">
        <f t="shared" si="14"/>
        <v>-28.009999999999987</v>
      </c>
      <c r="L57" s="1">
        <f t="shared" si="14"/>
        <v>-23.989999999999991</v>
      </c>
      <c r="M57" s="18">
        <f>+$D$17+L48</f>
        <v>-23.989999999999991</v>
      </c>
      <c r="N57" s="1"/>
    </row>
    <row r="58" spans="2:14" x14ac:dyDescent="0.25">
      <c r="B58" s="14" t="s">
        <v>98</v>
      </c>
      <c r="C58" s="4">
        <f>D12+C57</f>
        <v>38.5</v>
      </c>
      <c r="D58" s="4">
        <f t="shared" ref="D58:M58" si="15">C58+D57+C62</f>
        <v>62.6</v>
      </c>
      <c r="E58" s="4">
        <f t="shared" si="15"/>
        <v>97.5</v>
      </c>
      <c r="F58" s="4">
        <f t="shared" si="15"/>
        <v>125.6</v>
      </c>
      <c r="G58" s="4">
        <f t="shared" si="15"/>
        <v>117.5</v>
      </c>
      <c r="H58" s="4">
        <f t="shared" si="15"/>
        <v>109.4</v>
      </c>
      <c r="I58" s="4">
        <f t="shared" si="15"/>
        <v>112.45000000000002</v>
      </c>
      <c r="J58" s="4">
        <f t="shared" si="15"/>
        <v>76.420000000000016</v>
      </c>
      <c r="K58" s="4">
        <f t="shared" si="15"/>
        <v>48.410000000000025</v>
      </c>
      <c r="L58" s="4">
        <f t="shared" si="15"/>
        <v>48.410000000000025</v>
      </c>
      <c r="M58" s="19">
        <f t="shared" si="15"/>
        <v>48.410000000000025</v>
      </c>
    </row>
    <row r="59" spans="2:14" x14ac:dyDescent="0.25">
      <c r="B59" s="14" t="s">
        <v>115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19">
        <v>0</v>
      </c>
    </row>
    <row r="60" spans="2:14" x14ac:dyDescent="0.25">
      <c r="B60" s="14"/>
      <c r="M60" s="13"/>
    </row>
    <row r="61" spans="2:14" x14ac:dyDescent="0.25">
      <c r="B61" s="14" t="s">
        <v>105</v>
      </c>
      <c r="M61" s="13"/>
    </row>
    <row r="62" spans="2:14" s="93" customFormat="1" x14ac:dyDescent="0.25">
      <c r="B62" s="14" t="s">
        <v>106</v>
      </c>
      <c r="C62" s="4"/>
      <c r="D62" s="4">
        <f t="shared" ref="D62:L62" si="16">IF(D58&lt;50,-E57,0)</f>
        <v>0</v>
      </c>
      <c r="E62" s="4">
        <f t="shared" si="16"/>
        <v>0</v>
      </c>
      <c r="F62" s="4">
        <f t="shared" si="16"/>
        <v>0</v>
      </c>
      <c r="G62" s="4">
        <f t="shared" si="16"/>
        <v>0</v>
      </c>
      <c r="H62" s="4">
        <f t="shared" si="16"/>
        <v>0</v>
      </c>
      <c r="I62" s="4">
        <f t="shared" si="16"/>
        <v>0</v>
      </c>
      <c r="J62" s="4">
        <f t="shared" si="16"/>
        <v>0</v>
      </c>
      <c r="K62" s="4">
        <f t="shared" si="16"/>
        <v>23.989999999999991</v>
      </c>
      <c r="L62" s="4">
        <f t="shared" si="16"/>
        <v>23.989999999999991</v>
      </c>
      <c r="M62" s="19"/>
    </row>
    <row r="63" spans="2:14" s="1" customFormat="1" x14ac:dyDescent="0.25">
      <c r="B63" s="14" t="s">
        <v>107</v>
      </c>
      <c r="D63" s="1">
        <f>+D62*$E$14</f>
        <v>0</v>
      </c>
      <c r="E63" s="1">
        <f t="shared" ref="E63:L63" si="17">+E62*$E$14</f>
        <v>0</v>
      </c>
      <c r="F63" s="1">
        <f t="shared" si="17"/>
        <v>0</v>
      </c>
      <c r="G63" s="1">
        <f t="shared" si="17"/>
        <v>0</v>
      </c>
      <c r="H63" s="1">
        <f t="shared" si="17"/>
        <v>0</v>
      </c>
      <c r="I63" s="1">
        <f t="shared" si="17"/>
        <v>0</v>
      </c>
      <c r="J63" s="1">
        <f t="shared" si="17"/>
        <v>0</v>
      </c>
      <c r="K63" s="1">
        <f t="shared" si="17"/>
        <v>31.186999999999991</v>
      </c>
      <c r="L63" s="1">
        <f t="shared" si="17"/>
        <v>31.186999999999991</v>
      </c>
      <c r="M63" s="18"/>
    </row>
    <row r="64" spans="2:14" x14ac:dyDescent="0.25">
      <c r="B64" s="14" t="s">
        <v>104</v>
      </c>
      <c r="D64" s="108">
        <f>+D63/$E$15</f>
        <v>0</v>
      </c>
      <c r="E64" s="108">
        <f t="shared" ref="E64:L64" si="18">+E63/$E$15</f>
        <v>0</v>
      </c>
      <c r="F64" s="108">
        <f t="shared" si="18"/>
        <v>0</v>
      </c>
      <c r="G64" s="108">
        <f t="shared" si="18"/>
        <v>0</v>
      </c>
      <c r="H64" s="108">
        <f t="shared" si="18"/>
        <v>0</v>
      </c>
      <c r="I64" s="108">
        <f t="shared" si="18"/>
        <v>0</v>
      </c>
      <c r="J64" s="108">
        <f t="shared" si="18"/>
        <v>0</v>
      </c>
      <c r="K64" s="108">
        <f t="shared" si="18"/>
        <v>20.791333333333327</v>
      </c>
      <c r="L64" s="108">
        <f t="shared" si="18"/>
        <v>20.791333333333327</v>
      </c>
      <c r="M64" s="13"/>
    </row>
    <row r="65" spans="2:13" x14ac:dyDescent="0.25">
      <c r="B65" s="14"/>
      <c r="M65" s="13"/>
    </row>
    <row r="66" spans="2:13" x14ac:dyDescent="0.25">
      <c r="B66" s="14" t="s">
        <v>108</v>
      </c>
      <c r="C66" s="113">
        <f t="shared" ref="C66:L66" si="19">+C55</f>
        <v>192</v>
      </c>
      <c r="D66" s="113">
        <f t="shared" si="19"/>
        <v>192</v>
      </c>
      <c r="E66" s="113">
        <f t="shared" si="19"/>
        <v>257</v>
      </c>
      <c r="F66" s="113">
        <f t="shared" si="19"/>
        <v>257</v>
      </c>
      <c r="G66" s="113">
        <f t="shared" si="19"/>
        <v>471.5</v>
      </c>
      <c r="H66" s="113">
        <f t="shared" si="19"/>
        <v>471.5</v>
      </c>
      <c r="I66" s="113">
        <f t="shared" si="19"/>
        <v>471.5</v>
      </c>
      <c r="J66" s="113">
        <f t="shared" si="19"/>
        <v>471.5</v>
      </c>
      <c r="K66" s="113">
        <f t="shared" si="19"/>
        <v>492.29133333333334</v>
      </c>
      <c r="L66" s="113">
        <f t="shared" si="19"/>
        <v>513.08266666666668</v>
      </c>
      <c r="M66" s="13"/>
    </row>
    <row r="67" spans="2:13" x14ac:dyDescent="0.25">
      <c r="B67" s="14" t="s">
        <v>109</v>
      </c>
      <c r="C67" s="74">
        <f t="shared" ref="C67:L67" si="20">+$E$15</f>
        <v>1.5</v>
      </c>
      <c r="D67" s="74">
        <f t="shared" si="20"/>
        <v>1.5</v>
      </c>
      <c r="E67" s="74">
        <f t="shared" si="20"/>
        <v>1.5</v>
      </c>
      <c r="F67" s="74">
        <f t="shared" si="20"/>
        <v>1.5</v>
      </c>
      <c r="G67" s="74">
        <f t="shared" si="20"/>
        <v>1.5</v>
      </c>
      <c r="H67" s="74">
        <f t="shared" si="20"/>
        <v>1.5</v>
      </c>
      <c r="I67" s="74">
        <f t="shared" si="20"/>
        <v>1.5</v>
      </c>
      <c r="J67" s="74">
        <f t="shared" si="20"/>
        <v>1.5</v>
      </c>
      <c r="K67" s="74">
        <f t="shared" si="20"/>
        <v>1.5</v>
      </c>
      <c r="L67" s="74">
        <f t="shared" si="20"/>
        <v>1.5</v>
      </c>
      <c r="M67" s="13"/>
    </row>
    <row r="68" spans="2:13" x14ac:dyDescent="0.25">
      <c r="B68" s="14" t="s">
        <v>110</v>
      </c>
      <c r="C68" s="4">
        <f>C55*$E$15</f>
        <v>288</v>
      </c>
      <c r="D68" s="4">
        <f t="shared" ref="D68:L68" si="21">D55*$E$15</f>
        <v>288</v>
      </c>
      <c r="E68" s="4">
        <f t="shared" si="21"/>
        <v>385.5</v>
      </c>
      <c r="F68" s="4">
        <f t="shared" si="21"/>
        <v>385.5</v>
      </c>
      <c r="G68" s="4">
        <f t="shared" si="21"/>
        <v>707.25</v>
      </c>
      <c r="H68" s="4">
        <f t="shared" si="21"/>
        <v>707.25</v>
      </c>
      <c r="I68" s="4">
        <f t="shared" si="21"/>
        <v>707.25</v>
      </c>
      <c r="J68" s="4">
        <f t="shared" si="21"/>
        <v>707.25</v>
      </c>
      <c r="K68" s="4">
        <f t="shared" si="21"/>
        <v>738.43700000000001</v>
      </c>
      <c r="L68" s="4">
        <f t="shared" si="21"/>
        <v>769.62400000000002</v>
      </c>
      <c r="M68" s="13"/>
    </row>
    <row r="69" spans="2:13" x14ac:dyDescent="0.25">
      <c r="B69" s="14" t="s">
        <v>20</v>
      </c>
      <c r="C69" s="1">
        <f>C57</f>
        <v>22.3</v>
      </c>
      <c r="D69" s="1">
        <f t="shared" ref="D69:L69" si="22">D57</f>
        <v>24.1</v>
      </c>
      <c r="E69" s="1">
        <f t="shared" si="22"/>
        <v>34.900000000000006</v>
      </c>
      <c r="F69" s="1">
        <f t="shared" si="22"/>
        <v>28.1</v>
      </c>
      <c r="G69" s="1">
        <f t="shared" si="22"/>
        <v>-8.0999999999999943</v>
      </c>
      <c r="H69" s="1">
        <f t="shared" si="22"/>
        <v>-8.0999999999999943</v>
      </c>
      <c r="I69" s="1">
        <f t="shared" si="22"/>
        <v>3.0500000000000078</v>
      </c>
      <c r="J69" s="1">
        <f t="shared" si="22"/>
        <v>-36.03</v>
      </c>
      <c r="K69" s="1">
        <f t="shared" si="22"/>
        <v>-28.009999999999987</v>
      </c>
      <c r="L69" s="1">
        <f t="shared" si="22"/>
        <v>-23.989999999999991</v>
      </c>
      <c r="M69" s="13"/>
    </row>
    <row r="70" spans="2:13" x14ac:dyDescent="0.25">
      <c r="B70" s="14" t="s">
        <v>37</v>
      </c>
      <c r="C70" s="1">
        <f>+C69*$E$14</f>
        <v>28.990000000000002</v>
      </c>
      <c r="D70" s="1">
        <f t="shared" ref="D70:L70" si="23">+D69*$E$14</f>
        <v>31.330000000000002</v>
      </c>
      <c r="E70" s="1">
        <f t="shared" si="23"/>
        <v>45.370000000000012</v>
      </c>
      <c r="F70" s="1">
        <f t="shared" si="23"/>
        <v>36.53</v>
      </c>
      <c r="G70" s="1">
        <f t="shared" si="23"/>
        <v>-10.529999999999992</v>
      </c>
      <c r="H70" s="1">
        <f t="shared" si="23"/>
        <v>-10.529999999999992</v>
      </c>
      <c r="I70" s="1">
        <f t="shared" si="23"/>
        <v>3.9650000000000105</v>
      </c>
      <c r="J70" s="1">
        <f t="shared" si="23"/>
        <v>-46.839000000000006</v>
      </c>
      <c r="K70" s="1">
        <f t="shared" si="23"/>
        <v>-36.412999999999982</v>
      </c>
      <c r="L70" s="1">
        <f t="shared" si="23"/>
        <v>-31.186999999999991</v>
      </c>
      <c r="M70" s="13"/>
    </row>
    <row r="71" spans="2:13" x14ac:dyDescent="0.25">
      <c r="B71" s="14" t="s">
        <v>111</v>
      </c>
      <c r="C71" s="28">
        <f>+C70/C68</f>
        <v>0.10065972222222223</v>
      </c>
      <c r="D71" s="28">
        <f t="shared" ref="D71:L71" si="24">+D70/D68</f>
        <v>0.10878472222222223</v>
      </c>
      <c r="E71" s="28">
        <f t="shared" si="24"/>
        <v>0.11769130998702987</v>
      </c>
      <c r="F71" s="28">
        <f t="shared" si="24"/>
        <v>9.4760051880674448E-2</v>
      </c>
      <c r="G71" s="28">
        <f t="shared" si="24"/>
        <v>-1.488865323435842E-2</v>
      </c>
      <c r="H71" s="28">
        <f t="shared" si="24"/>
        <v>-1.488865323435842E-2</v>
      </c>
      <c r="I71" s="28">
        <f t="shared" si="24"/>
        <v>5.6062212796041157E-3</v>
      </c>
      <c r="J71" s="28">
        <f t="shared" si="24"/>
        <v>-6.62269353128314E-2</v>
      </c>
      <c r="K71" s="28">
        <f t="shared" si="24"/>
        <v>-4.9310909393760038E-2</v>
      </c>
      <c r="L71" s="28">
        <f t="shared" si="24"/>
        <v>-4.0522384956810063E-2</v>
      </c>
      <c r="M71" s="13"/>
    </row>
    <row r="72" spans="2:13" x14ac:dyDescent="0.25">
      <c r="B72" s="14"/>
      <c r="M72" s="13"/>
    </row>
    <row r="73" spans="2:13" x14ac:dyDescent="0.25">
      <c r="B73" s="14" t="s">
        <v>38</v>
      </c>
      <c r="C73" s="16">
        <f>L70/C25</f>
        <v>-519.78333333333319</v>
      </c>
      <c r="M73" s="13"/>
    </row>
    <row r="74" spans="2:13" x14ac:dyDescent="0.25">
      <c r="B74" s="14" t="s">
        <v>112</v>
      </c>
      <c r="C74" s="9">
        <f>L68</f>
        <v>769.62400000000002</v>
      </c>
      <c r="M74" s="13"/>
    </row>
    <row r="75" spans="2:13" ht="15.75" thickBot="1" x14ac:dyDescent="0.3">
      <c r="B75" s="14" t="s">
        <v>113</v>
      </c>
      <c r="C75" s="4">
        <f>+C73-C74</f>
        <v>-1289.4073333333331</v>
      </c>
      <c r="M75" s="13"/>
    </row>
    <row r="76" spans="2:13" x14ac:dyDescent="0.25">
      <c r="B76" s="31" t="s">
        <v>114</v>
      </c>
      <c r="C76" s="117">
        <f>+C75/L66</f>
        <v>-2.5130596239202516</v>
      </c>
      <c r="D76" s="32"/>
      <c r="E76" s="32"/>
      <c r="F76" s="32"/>
      <c r="G76" s="32"/>
      <c r="H76" s="32"/>
      <c r="I76" s="32"/>
      <c r="J76" s="32"/>
      <c r="K76" s="32"/>
      <c r="L76" s="32"/>
      <c r="M76" s="33"/>
    </row>
  </sheetData>
  <mergeCells count="3">
    <mergeCell ref="C29:L29"/>
    <mergeCell ref="C52:L52"/>
    <mergeCell ref="J31:L31"/>
  </mergeCells>
  <pageMargins left="0.23622047244094491" right="0.23622047244094491" top="0.74803149606299213" bottom="0.74803149606299213" header="0.31496062992125984" footer="0.31496062992125984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Base Scenario</vt:lpstr>
      <vt:lpstr>Growth Scenario</vt:lpstr>
      <vt:lpstr>'Base Scenario'!Print_Area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Rentschler</dc:creator>
  <cp:lastModifiedBy>Aurora Davidson</cp:lastModifiedBy>
  <cp:lastPrinted>2024-11-12T23:25:19Z</cp:lastPrinted>
  <dcterms:created xsi:type="dcterms:W3CDTF">2024-04-01T16:23:48Z</dcterms:created>
  <dcterms:modified xsi:type="dcterms:W3CDTF">2024-11-12T23:25:26Z</dcterms:modified>
</cp:coreProperties>
</file>